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nterprisecommunity.sharepoint.com/sites/NationalInitiatives/Green_Communities/0_Green Communities Criteria/2026 Criteria/Tools &amp; templates/FINAL TOOLS FOR WEBSITE_4.9.26/"/>
    </mc:Choice>
  </mc:AlternateContent>
  <xr:revisionPtr revIDLastSave="8996" documentId="13_ncr:1_{9214DCDE-C489-1642-B156-C62CC820EB63}" xr6:coauthVersionLast="47" xr6:coauthVersionMax="47" xr10:uidLastSave="{A90DD441-5FFA-4946-A82D-EA8E400B00EA}"/>
  <bookViews>
    <workbookView xWindow="28680" yWindow="1620" windowWidth="29040" windowHeight="15720" tabRatio="679" xr2:uid="{00000000-000D-0000-FFFF-FFFF00000000}"/>
  </bookViews>
  <sheets>
    <sheet name="Introduction" sheetId="16" r:id="rId1"/>
    <sheet name="1. Criteria &amp; Spec Matrix" sheetId="17" r:id="rId2"/>
    <sheet name="2. Specs" sheetId="9" r:id="rId3"/>
    <sheet name="3. Dropdowns" sheetId="11" r:id="rId4"/>
    <sheet name="4. Change Log" sheetId="15" r:id="rId5"/>
  </sheets>
  <definedNames>
    <definedName name="_xlnm._FilterDatabase" localSheetId="1" hidden="1">'1. Criteria &amp; Spec Matrix'!$B$10:$HM$301</definedName>
    <definedName name="_xlnm._FilterDatabase" localSheetId="2" hidden="1">'2. Specs'!$C$10:$C$5839</definedName>
    <definedName name="_Toc438666691" localSheetId="2">'2. Specs'!$D$591</definedName>
    <definedName name="_xlnm.Print_Area" localSheetId="2">'2. Specs'!$D$10:$H$5839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86" i="9" l="1"/>
  <c r="C485" i="9" s="1"/>
  <c r="F487" i="9" s="1"/>
  <c r="C482" i="9"/>
  <c r="E480" i="9" s="1"/>
  <c r="C476" i="9"/>
  <c r="C475" i="9" s="1"/>
  <c r="F477" i="9" s="1"/>
  <c r="C828" i="9"/>
  <c r="C824" i="9"/>
  <c r="C1461" i="9"/>
  <c r="C754" i="9"/>
  <c r="C755" i="9" s="1"/>
  <c r="C750" i="9"/>
  <c r="C746" i="9"/>
  <c r="F144" i="17"/>
  <c r="F136" i="17"/>
  <c r="F139" i="17"/>
  <c r="F138" i="17"/>
  <c r="C137" i="17"/>
  <c r="C709" i="9" s="1"/>
  <c r="C78" i="17"/>
  <c r="C79" i="17"/>
  <c r="C389" i="11"/>
  <c r="C388" i="11"/>
  <c r="C333" i="11"/>
  <c r="C332" i="11"/>
  <c r="C329" i="11"/>
  <c r="C301" i="11"/>
  <c r="C236" i="11"/>
  <c r="C235" i="11"/>
  <c r="C217" i="11"/>
  <c r="C1513" i="9" s="1"/>
  <c r="C208" i="11"/>
  <c r="C201" i="11"/>
  <c r="C198" i="11"/>
  <c r="C199" i="11"/>
  <c r="C200" i="11"/>
  <c r="C181" i="11"/>
  <c r="C1483" i="9" s="1"/>
  <c r="C161" i="11"/>
  <c r="C127" i="11"/>
  <c r="C16" i="11"/>
  <c r="C15" i="11"/>
  <c r="C14" i="11"/>
  <c r="C1568" i="9"/>
  <c r="H869" i="9"/>
  <c r="C201" i="17"/>
  <c r="C243" i="11"/>
  <c r="C1525" i="9" s="1"/>
  <c r="C242" i="11"/>
  <c r="C1523" i="9"/>
  <c r="C13" i="11"/>
  <c r="C1464" i="9"/>
  <c r="C1463" i="9"/>
  <c r="C1098" i="9"/>
  <c r="C1097" i="9"/>
  <c r="C1268" i="9"/>
  <c r="C1270" i="9" s="1"/>
  <c r="C1511" i="9"/>
  <c r="C1512" i="9" s="1"/>
  <c r="G1513" i="9" s="1"/>
  <c r="C667" i="9"/>
  <c r="F45" i="17"/>
  <c r="F41" i="17"/>
  <c r="C657" i="9"/>
  <c r="C656" i="9"/>
  <c r="C655" i="9"/>
  <c r="C650" i="9"/>
  <c r="C141" i="17"/>
  <c r="C725" i="9" s="1"/>
  <c r="C20" i="17"/>
  <c r="F20" i="17"/>
  <c r="C21" i="17"/>
  <c r="F246" i="17"/>
  <c r="F234" i="17"/>
  <c r="F197" i="17"/>
  <c r="C189" i="17"/>
  <c r="C188" i="17"/>
  <c r="C187" i="17"/>
  <c r="C182" i="17"/>
  <c r="C768" i="9" s="1"/>
  <c r="F180" i="17"/>
  <c r="F165" i="17"/>
  <c r="C766" i="9" l="1"/>
  <c r="G767" i="9" s="1"/>
  <c r="C481" i="9"/>
  <c r="F1271" i="9"/>
  <c r="C726" i="9"/>
  <c r="C1524" i="9"/>
  <c r="C785" i="9"/>
  <c r="C784" i="9"/>
  <c r="C817" i="9"/>
  <c r="C1135" i="9"/>
  <c r="C780" i="9"/>
  <c r="C1479" i="9"/>
  <c r="C788" i="9"/>
  <c r="C783" i="9"/>
  <c r="C781" i="9"/>
  <c r="C779" i="9"/>
  <c r="C1112" i="9"/>
  <c r="C1269" i="9"/>
  <c r="C1510" i="9"/>
  <c r="C767" i="9"/>
  <c r="C1435" i="9"/>
  <c r="C1436" i="9" s="1"/>
  <c r="G768" i="9" l="1"/>
  <c r="C1085" i="9"/>
  <c r="C1075" i="9"/>
  <c r="C5678" i="9"/>
  <c r="C5679" i="9" s="1"/>
  <c r="C5670" i="9"/>
  <c r="C5671" i="9" s="1"/>
  <c r="C5662" i="9"/>
  <c r="C5663" i="9" s="1"/>
  <c r="C5649" i="9"/>
  <c r="C5650" i="9" s="1"/>
  <c r="C5643" i="9"/>
  <c r="C5644" i="9" s="1"/>
  <c r="C5635" i="9"/>
  <c r="C5636" i="9" s="1"/>
  <c r="C5626" i="9"/>
  <c r="C5627" i="9" s="1"/>
  <c r="C5620" i="9"/>
  <c r="C5621" i="9" s="1"/>
  <c r="C5619" i="9" s="1"/>
  <c r="C5599" i="9"/>
  <c r="C5600" i="9" s="1"/>
  <c r="C5589" i="9"/>
  <c r="C5590" i="9" s="1"/>
  <c r="C5573" i="9"/>
  <c r="C5306" i="9"/>
  <c r="C5307" i="9" s="1"/>
  <c r="E5305" i="9" s="1"/>
  <c r="C5300" i="9"/>
  <c r="C5301" i="9" s="1"/>
  <c r="C5299" i="9" s="1"/>
  <c r="C5276" i="9"/>
  <c r="C5277" i="9" s="1"/>
  <c r="E5275" i="9" s="1"/>
  <c r="C5270" i="9"/>
  <c r="C5271" i="9" s="1"/>
  <c r="C5269" i="9" s="1"/>
  <c r="C4649" i="9"/>
  <c r="C4625" i="9"/>
  <c r="C4031" i="9"/>
  <c r="C4032" i="9" s="1"/>
  <c r="F4033" i="9" s="1"/>
  <c r="C4027" i="9"/>
  <c r="C4028" i="9" s="1"/>
  <c r="E4026" i="9" s="1"/>
  <c r="C4021" i="9"/>
  <c r="C4022" i="9" s="1"/>
  <c r="C3845" i="9"/>
  <c r="C3846" i="9" s="1"/>
  <c r="C3841" i="9"/>
  <c r="C3842" i="9" s="1"/>
  <c r="E3840" i="9" s="1"/>
  <c r="C3837" i="9"/>
  <c r="C3838" i="9" s="1"/>
  <c r="C3836" i="9" s="1"/>
  <c r="C3699" i="9"/>
  <c r="C3700" i="9" s="1"/>
  <c r="C3672" i="9"/>
  <c r="C3673" i="9" s="1"/>
  <c r="C3645" i="9"/>
  <c r="C3646" i="9" s="1"/>
  <c r="C3639" i="9"/>
  <c r="C3640" i="9" s="1"/>
  <c r="F3641" i="9" s="1"/>
  <c r="C3624" i="9"/>
  <c r="C3625" i="9" s="1"/>
  <c r="C3616" i="9"/>
  <c r="C3617" i="9" s="1"/>
  <c r="C3557" i="9"/>
  <c r="C3558" i="9" s="1"/>
  <c r="C3545" i="9"/>
  <c r="C3546" i="9" s="1"/>
  <c r="C3533" i="9"/>
  <c r="C3534" i="9" s="1"/>
  <c r="C3524" i="9"/>
  <c r="C3525" i="9" s="1"/>
  <c r="E3523" i="9" s="1"/>
  <c r="C3520" i="9"/>
  <c r="C3521" i="9" s="1"/>
  <c r="E3519" i="9" s="1"/>
  <c r="C3516" i="9"/>
  <c r="C3517" i="9" s="1"/>
  <c r="C3515" i="9" s="1"/>
  <c r="C3507" i="9"/>
  <c r="C3508" i="9" s="1"/>
  <c r="E3506" i="9" s="1"/>
  <c r="C3503" i="9"/>
  <c r="C3504" i="9" s="1"/>
  <c r="E3502" i="9" s="1"/>
  <c r="C3499" i="9"/>
  <c r="C3500" i="9" s="1"/>
  <c r="C3498" i="9" s="1"/>
  <c r="C3468" i="9"/>
  <c r="C3469" i="9" s="1"/>
  <c r="C3480" i="9"/>
  <c r="C3481" i="9" s="1"/>
  <c r="C3464" i="9"/>
  <c r="C3465" i="9" s="1"/>
  <c r="C3446" i="9"/>
  <c r="C3447" i="9" s="1"/>
  <c r="C3431" i="9"/>
  <c r="C3432" i="9" s="1"/>
  <c r="F3433" i="9" s="1"/>
  <c r="C3423" i="9"/>
  <c r="C3424" i="9" s="1"/>
  <c r="C3413" i="9"/>
  <c r="C3414" i="9" s="1"/>
  <c r="C3412" i="9" s="1"/>
  <c r="C3381" i="9"/>
  <c r="C3382" i="9" s="1"/>
  <c r="C3375" i="9"/>
  <c r="C3376" i="9" s="1"/>
  <c r="C3362" i="9"/>
  <c r="C3363" i="9" s="1"/>
  <c r="C3354" i="9"/>
  <c r="C3355" i="9" s="1"/>
  <c r="F5918" i="9"/>
  <c r="F5909" i="9"/>
  <c r="F5905" i="9"/>
  <c r="F5875" i="9"/>
  <c r="F5874" i="9"/>
  <c r="E5918" i="9"/>
  <c r="E5905" i="9"/>
  <c r="E5875" i="9"/>
  <c r="D5918" i="9"/>
  <c r="D5909" i="9"/>
  <c r="D5905" i="9"/>
  <c r="D5875" i="9"/>
  <c r="D5874" i="9"/>
  <c r="C5928" i="9"/>
  <c r="C5929" i="9" s="1"/>
  <c r="C5930" i="9" s="1"/>
  <c r="C5931" i="9" s="1"/>
  <c r="C5908" i="9"/>
  <c r="C5909" i="9" s="1"/>
  <c r="C5910" i="9" s="1"/>
  <c r="C5911" i="9" s="1"/>
  <c r="C5912" i="9" s="1"/>
  <c r="C5913" i="9" s="1"/>
  <c r="C5914" i="9" s="1"/>
  <c r="C5903" i="9"/>
  <c r="C5904" i="9" s="1"/>
  <c r="C5905" i="9" s="1"/>
  <c r="C5906" i="9" s="1"/>
  <c r="C5896" i="9"/>
  <c r="C5897" i="9" s="1"/>
  <c r="C5898" i="9" s="1"/>
  <c r="C5899" i="9" s="1"/>
  <c r="C5900" i="9" s="1"/>
  <c r="C5901" i="9" s="1"/>
  <c r="C5892" i="9"/>
  <c r="C5886" i="9"/>
  <c r="C5887" i="9" s="1"/>
  <c r="C5888" i="9" s="1"/>
  <c r="C5889" i="9" s="1"/>
  <c r="C5890" i="9" s="1"/>
  <c r="C5891" i="9" s="1"/>
  <c r="C5875" i="9"/>
  <c r="C5876" i="9" s="1"/>
  <c r="C5877" i="9" s="1"/>
  <c r="C5878" i="9" s="1"/>
  <c r="C5879" i="9" s="1"/>
  <c r="C5880" i="9" s="1"/>
  <c r="C5881" i="9" s="1"/>
  <c r="C5882" i="9" s="1"/>
  <c r="C5865" i="9"/>
  <c r="C5866" i="9" s="1"/>
  <c r="C5867" i="9" s="1"/>
  <c r="C5868" i="9" s="1"/>
  <c r="C5869" i="9" s="1"/>
  <c r="C5870" i="9" s="1"/>
  <c r="C5871" i="9" s="1"/>
  <c r="C5872" i="9" s="1"/>
  <c r="C2614" i="9"/>
  <c r="C2615" i="9" s="1"/>
  <c r="C2600" i="9"/>
  <c r="C2601" i="9" s="1"/>
  <c r="C2584" i="9"/>
  <c r="C2585" i="9" s="1"/>
  <c r="C2711" i="9"/>
  <c r="C2712" i="9" s="1"/>
  <c r="C2709" i="9"/>
  <c r="C2710" i="9" s="1"/>
  <c r="C2695" i="9"/>
  <c r="C2696" i="9" s="1"/>
  <c r="C2681" i="9"/>
  <c r="C2682" i="9" s="1"/>
  <c r="C2679" i="9"/>
  <c r="C2680" i="9" s="1"/>
  <c r="C3268" i="9"/>
  <c r="C3248" i="9"/>
  <c r="C3048" i="9"/>
  <c r="C3049" i="9" s="1"/>
  <c r="C3032" i="9"/>
  <c r="C3033" i="9" s="1"/>
  <c r="C3012" i="9"/>
  <c r="C3013" i="9" s="1"/>
  <c r="C2565" i="9"/>
  <c r="C2566" i="9" s="1"/>
  <c r="C2555" i="9"/>
  <c r="C2556" i="9" s="1"/>
  <c r="C2543" i="9"/>
  <c r="C2544" i="9" s="1"/>
  <c r="C2991" i="9"/>
  <c r="C2992" i="9" s="1"/>
  <c r="C2857" i="9"/>
  <c r="C2858" i="9" s="1"/>
  <c r="C2839" i="9"/>
  <c r="C2840" i="9" s="1"/>
  <c r="C2802" i="9"/>
  <c r="C2803" i="9" s="1"/>
  <c r="C2786" i="9"/>
  <c r="C2787" i="9" s="1"/>
  <c r="C5999" i="9"/>
  <c r="C6000" i="9" s="1"/>
  <c r="C6001" i="9" s="1"/>
  <c r="C6002" i="9" s="1"/>
  <c r="C5979" i="9"/>
  <c r="C5980" i="9" s="1"/>
  <c r="C5981" i="9" s="1"/>
  <c r="C5982" i="9" s="1"/>
  <c r="C5983" i="9" s="1"/>
  <c r="C5984" i="9" s="1"/>
  <c r="C5985" i="9" s="1"/>
  <c r="C5974" i="9"/>
  <c r="C5975" i="9" s="1"/>
  <c r="C5976" i="9" s="1"/>
  <c r="C5977" i="9" s="1"/>
  <c r="C5963" i="9"/>
  <c r="C5967" i="9" s="1"/>
  <c r="C5968" i="9" s="1"/>
  <c r="C5969" i="9" s="1"/>
  <c r="C5970" i="9" s="1"/>
  <c r="C5971" i="9" s="1"/>
  <c r="C5972" i="9" s="1"/>
  <c r="C5957" i="9"/>
  <c r="C5958" i="9" s="1"/>
  <c r="C5959" i="9" s="1"/>
  <c r="C5960" i="9" s="1"/>
  <c r="C5961" i="9" s="1"/>
  <c r="C5962" i="9" s="1"/>
  <c r="C5946" i="9"/>
  <c r="C5947" i="9" s="1"/>
  <c r="C5948" i="9" s="1"/>
  <c r="C5949" i="9" s="1"/>
  <c r="C5950" i="9" s="1"/>
  <c r="C5951" i="9" s="1"/>
  <c r="C5952" i="9" s="1"/>
  <c r="C5953" i="9" s="1"/>
  <c r="C5936" i="9"/>
  <c r="C5937" i="9" s="1"/>
  <c r="C5938" i="9" s="1"/>
  <c r="C5939" i="9" s="1"/>
  <c r="C5940" i="9" s="1"/>
  <c r="C5941" i="9" s="1"/>
  <c r="C5942" i="9" s="1"/>
  <c r="C5943" i="9" s="1"/>
  <c r="C954" i="9"/>
  <c r="C951" i="9"/>
  <c r="C764" i="9"/>
  <c r="C676" i="9"/>
  <c r="C669" i="9"/>
  <c r="F259" i="17"/>
  <c r="F278" i="17"/>
  <c r="C2436" i="9"/>
  <c r="C2428" i="9"/>
  <c r="C5859" i="9"/>
  <c r="E5857" i="9" s="1"/>
  <c r="C5855" i="9"/>
  <c r="E5853" i="9" s="1"/>
  <c r="C5851" i="9"/>
  <c r="C5849" i="9" s="1"/>
  <c r="C1498" i="9"/>
  <c r="C1499" i="9"/>
  <c r="C803" i="9"/>
  <c r="C1500" i="9"/>
  <c r="C805" i="9"/>
  <c r="C1129" i="9"/>
  <c r="C1127" i="9"/>
  <c r="C1128" i="9"/>
  <c r="C804" i="9"/>
  <c r="C802" i="9"/>
  <c r="C453" i="9"/>
  <c r="C1188" i="9"/>
  <c r="C1434" i="9"/>
  <c r="C741" i="9"/>
  <c r="C739" i="9"/>
  <c r="C738" i="9"/>
  <c r="C742" i="9"/>
  <c r="C740" i="9"/>
  <c r="F52" i="17"/>
  <c r="C1001" i="9"/>
  <c r="C1330" i="9"/>
  <c r="B984" i="9"/>
  <c r="B1305" i="9"/>
  <c r="C986" i="9"/>
  <c r="F44" i="17"/>
  <c r="C44" i="17"/>
  <c r="C1310" i="9" s="1"/>
  <c r="C987" i="9"/>
  <c r="C989" i="9" s="1"/>
  <c r="C661" i="9"/>
  <c r="C663" i="9" s="1"/>
  <c r="C1497" i="9"/>
  <c r="C1494" i="9"/>
  <c r="C799" i="9"/>
  <c r="C1493" i="9"/>
  <c r="C798" i="9"/>
  <c r="C1492" i="9"/>
  <c r="C797" i="9"/>
  <c r="C1468" i="9"/>
  <c r="C772" i="9"/>
  <c r="C1467" i="9"/>
  <c r="C771" i="9"/>
  <c r="C1441" i="9"/>
  <c r="C1425" i="9"/>
  <c r="C1426" i="9" s="1"/>
  <c r="C1273" i="9"/>
  <c r="F5939" i="9" s="1"/>
  <c r="F5868" i="9" s="1"/>
  <c r="C1271" i="9"/>
  <c r="C1149" i="9"/>
  <c r="C838" i="9"/>
  <c r="C1148" i="9"/>
  <c r="C837" i="9"/>
  <c r="C1144" i="9"/>
  <c r="C1143" i="9" s="1"/>
  <c r="E5970" i="9" s="1"/>
  <c r="E5899" i="9" s="1"/>
  <c r="C1142" i="9"/>
  <c r="C1141" i="9"/>
  <c r="C823" i="9"/>
  <c r="C1140" i="9"/>
  <c r="C822" i="9"/>
  <c r="C1138" i="9"/>
  <c r="C1137" i="9"/>
  <c r="C819" i="9"/>
  <c r="C1126" i="9"/>
  <c r="C1125" i="9"/>
  <c r="C801" i="9"/>
  <c r="C1124" i="9"/>
  <c r="C800" i="9"/>
  <c r="C1123" i="9"/>
  <c r="C1122" i="9"/>
  <c r="C1121" i="9"/>
  <c r="C1120" i="9"/>
  <c r="C796" i="9"/>
  <c r="C1119" i="9"/>
  <c r="C795" i="9"/>
  <c r="C1118" i="9"/>
  <c r="C794" i="9"/>
  <c r="C1117" i="9"/>
  <c r="C793" i="9"/>
  <c r="C1116" i="9"/>
  <c r="C792" i="9"/>
  <c r="C1115" i="9"/>
  <c r="C791" i="9"/>
  <c r="C1114" i="9"/>
  <c r="C790" i="9"/>
  <c r="C1102" i="9"/>
  <c r="C1101" i="9"/>
  <c r="C1092" i="9"/>
  <c r="C1093" i="9" s="1"/>
  <c r="C1087" i="9"/>
  <c r="C1089" i="9" s="1"/>
  <c r="C760" i="9"/>
  <c r="C1084" i="9"/>
  <c r="C1083" i="9"/>
  <c r="C758" i="9"/>
  <c r="G759" i="9" s="1"/>
  <c r="C1080" i="9"/>
  <c r="C1081" i="9" s="1"/>
  <c r="C756" i="9"/>
  <c r="C1079" i="9"/>
  <c r="C748" i="9"/>
  <c r="C1078" i="9"/>
  <c r="C747" i="9"/>
  <c r="C1066" i="9"/>
  <c r="C731" i="9"/>
  <c r="C1063" i="9"/>
  <c r="C1065" i="9" s="1"/>
  <c r="C728" i="9"/>
  <c r="C730" i="9" s="1"/>
  <c r="C1006" i="9"/>
  <c r="C681" i="9"/>
  <c r="C1005" i="9"/>
  <c r="C680" i="9"/>
  <c r="C998" i="9"/>
  <c r="C671" i="9"/>
  <c r="C997" i="9"/>
  <c r="C985" i="9"/>
  <c r="C664" i="9"/>
  <c r="C752" i="9"/>
  <c r="C673" i="9"/>
  <c r="C1672" i="9"/>
  <c r="C1671" i="9"/>
  <c r="C953" i="9"/>
  <c r="C1670" i="9"/>
  <c r="C952" i="9"/>
  <c r="C1669" i="9"/>
  <c r="G1670" i="9" s="1"/>
  <c r="C1667" i="9"/>
  <c r="C949" i="9"/>
  <c r="C1666" i="9"/>
  <c r="G1667" i="9" s="1"/>
  <c r="C948" i="9"/>
  <c r="C1657" i="9"/>
  <c r="C1656" i="9"/>
  <c r="C2499" i="9" s="1"/>
  <c r="C2500" i="9" s="1"/>
  <c r="E2496" i="9" s="1"/>
  <c r="C1655" i="9"/>
  <c r="C2466" i="9" s="1"/>
  <c r="C938" i="9"/>
  <c r="C1654" i="9"/>
  <c r="C2282" i="9" s="1"/>
  <c r="C937" i="9"/>
  <c r="C2272" i="9" s="1"/>
  <c r="C2273" i="9" s="1"/>
  <c r="C1653" i="9"/>
  <c r="C935" i="9"/>
  <c r="C1652" i="9"/>
  <c r="C934" i="9"/>
  <c r="C1651" i="9"/>
  <c r="C1650" i="9"/>
  <c r="C933" i="9"/>
  <c r="C1649" i="9"/>
  <c r="C932" i="9"/>
  <c r="C1648" i="9"/>
  <c r="C1647" i="9"/>
  <c r="C931" i="9"/>
  <c r="C1646" i="9"/>
  <c r="G1647" i="9" s="1"/>
  <c r="C930" i="9"/>
  <c r="C1624" i="9"/>
  <c r="C1616" i="9"/>
  <c r="C1615" i="9"/>
  <c r="G1616" i="9" s="1"/>
  <c r="C1598" i="9"/>
  <c r="C1599" i="9" s="1"/>
  <c r="C1597" i="9"/>
  <c r="G1598" i="9" s="1"/>
  <c r="C895" i="9"/>
  <c r="C1586" i="9"/>
  <c r="C884" i="9"/>
  <c r="C1582" i="9"/>
  <c r="C1585" i="9" s="1"/>
  <c r="C1578" i="9"/>
  <c r="C879" i="9"/>
  <c r="C1565" i="9"/>
  <c r="C1567" i="9" s="1"/>
  <c r="C1564" i="9"/>
  <c r="C1561" i="9"/>
  <c r="C1556" i="9"/>
  <c r="C1559" i="9" s="1"/>
  <c r="C1558" i="9"/>
  <c r="C1560" i="9" s="1"/>
  <c r="C1557" i="9"/>
  <c r="C1555" i="9"/>
  <c r="C1554" i="9"/>
  <c r="C1548" i="9"/>
  <c r="C847" i="9"/>
  <c r="C1547" i="9"/>
  <c r="C846" i="9"/>
  <c r="C1546" i="9"/>
  <c r="C845" i="9"/>
  <c r="C1545" i="9"/>
  <c r="C844" i="9"/>
  <c r="C1544" i="9"/>
  <c r="C1543" i="9"/>
  <c r="C1542" i="9"/>
  <c r="C843" i="9"/>
  <c r="C1540" i="9"/>
  <c r="C1541" i="9" s="1"/>
  <c r="C841" i="9"/>
  <c r="C1539" i="9"/>
  <c r="C1154" i="9"/>
  <c r="C1537" i="9"/>
  <c r="C1538" i="9" s="1"/>
  <c r="C1536" i="9"/>
  <c r="G1537" i="9" s="1"/>
  <c r="H1541" i="9"/>
  <c r="H842" i="9"/>
  <c r="H1538" i="9"/>
  <c r="C1261" i="9"/>
  <c r="C1260" i="9"/>
  <c r="G1261" i="9" s="1"/>
  <c r="C1258" i="9"/>
  <c r="C1257" i="9"/>
  <c r="G1258" i="9" s="1"/>
  <c r="C1248" i="9"/>
  <c r="C1247" i="9"/>
  <c r="C936" i="9"/>
  <c r="C1246" i="9"/>
  <c r="C1245" i="9"/>
  <c r="C1244" i="9"/>
  <c r="C1243" i="9"/>
  <c r="C1242" i="9"/>
  <c r="C1241" i="9"/>
  <c r="C1208" i="9"/>
  <c r="C1207" i="9" s="1"/>
  <c r="E5984" i="9" s="1"/>
  <c r="E5913" i="9" s="1"/>
  <c r="C1206" i="9"/>
  <c r="C1205" i="9" s="1"/>
  <c r="E5983" i="9" s="1"/>
  <c r="E5912" i="9" s="1"/>
  <c r="C893" i="9"/>
  <c r="C1196" i="9"/>
  <c r="C1197" i="9" s="1"/>
  <c r="C1194" i="9"/>
  <c r="G1195" i="9" s="1"/>
  <c r="C1195" i="9"/>
  <c r="G1565" i="9" l="1"/>
  <c r="C1136" i="9"/>
  <c r="E5968" i="9" s="1"/>
  <c r="C1113" i="9"/>
  <c r="C1272" i="9"/>
  <c r="F1275" i="9"/>
  <c r="F1273" i="9"/>
  <c r="G1085" i="9"/>
  <c r="C1073" i="9"/>
  <c r="G1086" i="9"/>
  <c r="C5615" i="9"/>
  <c r="C5614" i="9" s="1"/>
  <c r="C212" i="9" s="1"/>
  <c r="F5664" i="9"/>
  <c r="F5672" i="9"/>
  <c r="F5680" i="9"/>
  <c r="F5651" i="9"/>
  <c r="F5637" i="9"/>
  <c r="F5645" i="9"/>
  <c r="C5574" i="9"/>
  <c r="F5575" i="9" s="1"/>
  <c r="E5625" i="9"/>
  <c r="F5601" i="9"/>
  <c r="F5591" i="9"/>
  <c r="C5295" i="9"/>
  <c r="C5294" i="9" s="1"/>
  <c r="C197" i="9" s="1"/>
  <c r="C5265" i="9"/>
  <c r="C5120" i="9"/>
  <c r="C5121" i="9" s="1"/>
  <c r="C4700" i="9"/>
  <c r="C4702" i="9"/>
  <c r="C4703" i="9" s="1"/>
  <c r="C4650" i="9"/>
  <c r="C4626" i="9"/>
  <c r="C4589" i="9"/>
  <c r="C4590" i="9" s="1"/>
  <c r="C4543" i="9"/>
  <c r="C4544" i="9" s="1"/>
  <c r="C4520" i="9"/>
  <c r="C4521" i="9" s="1"/>
  <c r="F4023" i="9"/>
  <c r="E3844" i="9"/>
  <c r="C3832" i="9"/>
  <c r="F3674" i="9"/>
  <c r="F3647" i="9"/>
  <c r="F3618" i="9"/>
  <c r="F3559" i="9"/>
  <c r="F3535" i="9"/>
  <c r="F3547" i="9"/>
  <c r="C3511" i="9"/>
  <c r="C3510" i="9" s="1"/>
  <c r="C108" i="9" s="1"/>
  <c r="C3494" i="9"/>
  <c r="F3415" i="9"/>
  <c r="E3380" i="9"/>
  <c r="F3383" i="9"/>
  <c r="F3377" i="9"/>
  <c r="C3374" i="9"/>
  <c r="C2985" i="9"/>
  <c r="C2984" i="9" s="1"/>
  <c r="C87" i="9" s="1"/>
  <c r="E2990" i="9"/>
  <c r="F5936" i="9"/>
  <c r="F5865" i="9" s="1"/>
  <c r="E5959" i="9"/>
  <c r="C5255" i="9" s="1"/>
  <c r="E5980" i="9"/>
  <c r="C2467" i="9"/>
  <c r="E2465" i="9" s="1"/>
  <c r="C2283" i="9"/>
  <c r="E2281" i="9" s="1"/>
  <c r="G1127" i="9"/>
  <c r="G1129" i="9"/>
  <c r="G1128" i="9"/>
  <c r="G803" i="9"/>
  <c r="G805" i="9"/>
  <c r="G804" i="9"/>
  <c r="C1306" i="9"/>
  <c r="C1307" i="9"/>
  <c r="C1309" i="9"/>
  <c r="C1308" i="9"/>
  <c r="G1556" i="9"/>
  <c r="C1147" i="9"/>
  <c r="E5972" i="9" s="1"/>
  <c r="C4008" i="9" s="1"/>
  <c r="G1243" i="9"/>
  <c r="C662" i="9"/>
  <c r="C770" i="9"/>
  <c r="C1193" i="9"/>
  <c r="C988" i="9"/>
  <c r="C990" i="9"/>
  <c r="C729" i="9"/>
  <c r="C1466" i="9"/>
  <c r="G1244" i="9"/>
  <c r="C1256" i="9"/>
  <c r="E5995" i="9" s="1"/>
  <c r="C1094" i="9"/>
  <c r="G1566" i="9"/>
  <c r="C1064" i="9"/>
  <c r="C1665" i="9"/>
  <c r="F5995" i="9" s="1"/>
  <c r="C789" i="9"/>
  <c r="D5966" i="9" s="1"/>
  <c r="C1645" i="9"/>
  <c r="F5993" i="9" s="1"/>
  <c r="C5192" i="9" s="1"/>
  <c r="C5193" i="9" s="1"/>
  <c r="E5191" i="9" s="1"/>
  <c r="G1599" i="9"/>
  <c r="C1596" i="9"/>
  <c r="F5984" i="9" s="1"/>
  <c r="C1251" i="9"/>
  <c r="C1249" i="9"/>
  <c r="G1250" i="9" s="1"/>
  <c r="C1250" i="9"/>
  <c r="G1651" i="9"/>
  <c r="G1652" i="9"/>
  <c r="G1653" i="9"/>
  <c r="G1654" i="9"/>
  <c r="G1650" i="9"/>
  <c r="G1656" i="9"/>
  <c r="C1088" i="9"/>
  <c r="G1558" i="9"/>
  <c r="G1655" i="9"/>
  <c r="C1070" i="9"/>
  <c r="C2276" i="9" s="1"/>
  <c r="C1069" i="9"/>
  <c r="C1068" i="9"/>
  <c r="C1067" i="9"/>
  <c r="G1657" i="9"/>
  <c r="G1648" i="9"/>
  <c r="G1672" i="9"/>
  <c r="G1246" i="9"/>
  <c r="C1668" i="9"/>
  <c r="F5996" i="9" s="1"/>
  <c r="C5163" i="9" s="1"/>
  <c r="G1649" i="9"/>
  <c r="G1671" i="9"/>
  <c r="C1095" i="9"/>
  <c r="G1242" i="9"/>
  <c r="G1557" i="9"/>
  <c r="C1583" i="9"/>
  <c r="G1561" i="9"/>
  <c r="G1560" i="9"/>
  <c r="C1584" i="9"/>
  <c r="G1249" i="9"/>
  <c r="G1562" i="9"/>
  <c r="G1559" i="9"/>
  <c r="C1566" i="9"/>
  <c r="G1568" i="9" s="1"/>
  <c r="G1555" i="9"/>
  <c r="C1259" i="9"/>
  <c r="E5996" i="9" s="1"/>
  <c r="C5155" i="9" s="1"/>
  <c r="C5156" i="9" s="1"/>
  <c r="G1547" i="9"/>
  <c r="G1546" i="9"/>
  <c r="G1542" i="9"/>
  <c r="G1545" i="9"/>
  <c r="G1544" i="9"/>
  <c r="G1540" i="9"/>
  <c r="G1543" i="9"/>
  <c r="G1539" i="9"/>
  <c r="G1548" i="9"/>
  <c r="G1248" i="9"/>
  <c r="G1247" i="9"/>
  <c r="G1245" i="9"/>
  <c r="C1535" i="9"/>
  <c r="F5974" i="9" s="1"/>
  <c r="C609" i="9" s="1"/>
  <c r="C1191" i="9"/>
  <c r="C867" i="9"/>
  <c r="C1190" i="9"/>
  <c r="C866" i="9"/>
  <c r="C1189" i="9"/>
  <c r="C1187" i="9"/>
  <c r="C863" i="9"/>
  <c r="C1186" i="9"/>
  <c r="C1185" i="9"/>
  <c r="C1184" i="9"/>
  <c r="C862" i="9"/>
  <c r="C1180" i="9"/>
  <c r="C1181" i="9" s="1"/>
  <c r="C1179" i="9"/>
  <c r="C1177" i="9"/>
  <c r="C1178" i="9" s="1"/>
  <c r="C1176" i="9"/>
  <c r="C1175" i="9"/>
  <c r="C1174" i="9"/>
  <c r="C1172" i="9"/>
  <c r="C858" i="9"/>
  <c r="C1170" i="9"/>
  <c r="C1171" i="9" s="1"/>
  <c r="C857" i="9"/>
  <c r="C1169" i="9"/>
  <c r="C856" i="9"/>
  <c r="C1168" i="9"/>
  <c r="C855" i="9"/>
  <c r="G1164" i="9"/>
  <c r="C1166" i="9"/>
  <c r="C1165" i="9"/>
  <c r="C1167" i="9"/>
  <c r="C854" i="9"/>
  <c r="C1164" i="9"/>
  <c r="C853" i="9"/>
  <c r="G1155" i="9"/>
  <c r="C1158" i="9"/>
  <c r="C1157" i="9"/>
  <c r="H1156" i="9"/>
  <c r="C1155" i="9"/>
  <c r="C842" i="9"/>
  <c r="G847" i="9" s="1"/>
  <c r="C1151" i="9"/>
  <c r="E5973" i="9" s="1"/>
  <c r="C947" i="9"/>
  <c r="D5995" i="9" s="1"/>
  <c r="G949" i="9"/>
  <c r="C942" i="9"/>
  <c r="C940" i="9"/>
  <c r="C894" i="9"/>
  <c r="D5984" i="9" s="1"/>
  <c r="C892" i="9"/>
  <c r="D5983" i="9" s="1"/>
  <c r="C880" i="9"/>
  <c r="C873" i="9"/>
  <c r="C869" i="9"/>
  <c r="C868" i="9" s="1"/>
  <c r="D5977" i="9" s="1"/>
  <c r="C4182" i="9" s="1"/>
  <c r="C2234" i="9"/>
  <c r="C2247" i="9" s="1"/>
  <c r="C2207" i="9"/>
  <c r="C2232" i="9" s="1"/>
  <c r="C2182" i="9"/>
  <c r="C2196" i="9" s="1"/>
  <c r="C2141" i="9"/>
  <c r="C2142" i="9" s="1"/>
  <c r="C2127" i="9"/>
  <c r="C2146" i="9" s="1"/>
  <c r="C2135" i="9"/>
  <c r="C2144" i="9" s="1"/>
  <c r="C2132" i="9"/>
  <c r="C2133" i="9"/>
  <c r="E2146" i="9" s="1"/>
  <c r="C2110" i="9"/>
  <c r="C2126" i="9" s="1"/>
  <c r="C2105" i="9"/>
  <c r="C2103" i="9"/>
  <c r="F2105" i="9" s="1"/>
  <c r="C2078" i="9"/>
  <c r="C2092" i="9" s="1"/>
  <c r="C2063" i="9"/>
  <c r="C2077" i="9" s="1"/>
  <c r="C1533" i="9"/>
  <c r="C1532" i="9"/>
  <c r="C1531" i="9"/>
  <c r="C1530" i="9"/>
  <c r="C1529" i="9"/>
  <c r="C1528" i="9"/>
  <c r="G838" i="9"/>
  <c r="C1522" i="9"/>
  <c r="C1515" i="9"/>
  <c r="C1514" i="9" s="1"/>
  <c r="F5970" i="9" s="1"/>
  <c r="C825" i="9"/>
  <c r="C821" i="9" s="1"/>
  <c r="D5969" i="9" s="1"/>
  <c r="C5110" i="9" s="1"/>
  <c r="C5111" i="9" s="1"/>
  <c r="C1496" i="9"/>
  <c r="C1495" i="9"/>
  <c r="C1491" i="9"/>
  <c r="C1490" i="9"/>
  <c r="C1489" i="9"/>
  <c r="C1488" i="9"/>
  <c r="C1487" i="9"/>
  <c r="C1486" i="9"/>
  <c r="C1485" i="9"/>
  <c r="C1460" i="9"/>
  <c r="C1459" i="9"/>
  <c r="C1458" i="9"/>
  <c r="C1449" i="9"/>
  <c r="C1448" i="9"/>
  <c r="C1442" i="9"/>
  <c r="C1439" i="9"/>
  <c r="C749" i="9"/>
  <c r="C1433" i="9"/>
  <c r="C1427" i="9"/>
  <c r="C1431" i="9" s="1"/>
  <c r="C735" i="9"/>
  <c r="C2270" i="9" s="1"/>
  <c r="C1337" i="9"/>
  <c r="C1336" i="9"/>
  <c r="C1333" i="9"/>
  <c r="C1334" i="9" s="1"/>
  <c r="C1332" i="9"/>
  <c r="C1331" i="9"/>
  <c r="C1329" i="9"/>
  <c r="C1328" i="9"/>
  <c r="C1327" i="9"/>
  <c r="C1326" i="9"/>
  <c r="C1321" i="9"/>
  <c r="C1320" i="9"/>
  <c r="C1319" i="9"/>
  <c r="G1320" i="9" s="1"/>
  <c r="C1318" i="9"/>
  <c r="F5950" i="9" s="1"/>
  <c r="G674" i="9"/>
  <c r="C1315" i="9"/>
  <c r="C1313" i="9"/>
  <c r="C1312" i="9"/>
  <c r="C665" i="9"/>
  <c r="C1311" i="9"/>
  <c r="C1300" i="9"/>
  <c r="C1299" i="9"/>
  <c r="G657" i="9"/>
  <c r="C1295" i="9"/>
  <c r="C1294" i="9"/>
  <c r="C1293" i="9"/>
  <c r="C1291" i="9"/>
  <c r="C1292" i="9" s="1"/>
  <c r="C1290" i="9"/>
  <c r="C1289" i="9"/>
  <c r="C1274" i="9"/>
  <c r="C1090" i="9"/>
  <c r="C1086" i="9"/>
  <c r="G1087" i="9" s="1"/>
  <c r="C827" i="9"/>
  <c r="C1139" i="9"/>
  <c r="E5969" i="9" s="1"/>
  <c r="C5118" i="9" s="1"/>
  <c r="C5119" i="9" s="1"/>
  <c r="C820" i="9"/>
  <c r="C759" i="9"/>
  <c r="C753" i="9"/>
  <c r="C1003" i="9"/>
  <c r="C1004" i="9"/>
  <c r="C999" i="9"/>
  <c r="C995" i="9"/>
  <c r="C140" i="17"/>
  <c r="C139" i="17"/>
  <c r="C712" i="9" s="1"/>
  <c r="C138" i="17"/>
  <c r="C710" i="9" s="1"/>
  <c r="C136" i="17"/>
  <c r="C135" i="17"/>
  <c r="C134" i="17"/>
  <c r="C133" i="17"/>
  <c r="C1398" i="9" s="1"/>
  <c r="C132" i="17"/>
  <c r="C1397" i="9" s="1"/>
  <c r="C131" i="17"/>
  <c r="C1396" i="9" s="1"/>
  <c r="C130" i="17"/>
  <c r="C1395" i="9" s="1"/>
  <c r="C129" i="17"/>
  <c r="C1394" i="9" s="1"/>
  <c r="C128" i="17"/>
  <c r="C127" i="17"/>
  <c r="C1393" i="9" s="1"/>
  <c r="C126" i="17"/>
  <c r="C125" i="17"/>
  <c r="C1391" i="9" s="1"/>
  <c r="C124" i="17"/>
  <c r="C1390" i="9" s="1"/>
  <c r="C123" i="17"/>
  <c r="C1389" i="9" s="1"/>
  <c r="C122" i="17"/>
  <c r="C121" i="17"/>
  <c r="C120" i="17"/>
  <c r="C1388" i="9" s="1"/>
  <c r="C119" i="17"/>
  <c r="C118" i="17"/>
  <c r="C1386" i="9" s="1"/>
  <c r="C117" i="17"/>
  <c r="C1385" i="9" s="1"/>
  <c r="C116" i="17"/>
  <c r="C115" i="17"/>
  <c r="C114" i="17"/>
  <c r="C113" i="17"/>
  <c r="C112" i="17"/>
  <c r="C1042" i="9" s="1"/>
  <c r="C111" i="17"/>
  <c r="C1382" i="9" s="1"/>
  <c r="C110" i="17"/>
  <c r="C1381" i="9" s="1"/>
  <c r="C109" i="17"/>
  <c r="C1380" i="9" s="1"/>
  <c r="C108" i="17"/>
  <c r="C1379" i="9" s="1"/>
  <c r="C107" i="17"/>
  <c r="C106" i="17"/>
  <c r="C105" i="17"/>
  <c r="C104" i="17"/>
  <c r="C1376" i="9" s="1"/>
  <c r="C102" i="17"/>
  <c r="C101" i="17"/>
  <c r="C100" i="17"/>
  <c r="C1374" i="9" s="1"/>
  <c r="C99" i="17"/>
  <c r="C700" i="9" s="1"/>
  <c r="C98" i="17"/>
  <c r="C97" i="17"/>
  <c r="C96" i="17"/>
  <c r="C1370" i="9" s="1"/>
  <c r="C95" i="17"/>
  <c r="C1036" i="9" s="1"/>
  <c r="C94" i="17"/>
  <c r="C93" i="17"/>
  <c r="C1367" i="9" s="1"/>
  <c r="C92" i="17"/>
  <c r="C91" i="17"/>
  <c r="C1034" i="9" s="1"/>
  <c r="C90" i="17"/>
  <c r="C1364" i="9" s="1"/>
  <c r="C89" i="17"/>
  <c r="C1363" i="9" s="1"/>
  <c r="C88" i="17"/>
  <c r="C87" i="17"/>
  <c r="C1361" i="9" s="1"/>
  <c r="C84" i="17"/>
  <c r="C86" i="17"/>
  <c r="C1360" i="9" s="1"/>
  <c r="C85" i="17"/>
  <c r="C83" i="17"/>
  <c r="C1358" i="9" s="1"/>
  <c r="C82" i="17"/>
  <c r="C81" i="17"/>
  <c r="C80" i="17"/>
  <c r="C77" i="17"/>
  <c r="C76" i="17"/>
  <c r="C74" i="17"/>
  <c r="C73" i="17"/>
  <c r="C72" i="17"/>
  <c r="C71" i="17"/>
  <c r="C70" i="17"/>
  <c r="C69" i="17"/>
  <c r="C1017" i="9" s="1"/>
  <c r="C68" i="17"/>
  <c r="C679" i="9"/>
  <c r="C674" i="9"/>
  <c r="C672" i="9" s="1"/>
  <c r="D5950" i="9" s="1"/>
  <c r="C670" i="9"/>
  <c r="C666" i="9"/>
  <c r="D5948" i="9" s="1"/>
  <c r="C5784" i="9" s="1"/>
  <c r="C651" i="9"/>
  <c r="G651" i="9"/>
  <c r="C645" i="9"/>
  <c r="C646" i="9" s="1"/>
  <c r="C633" i="9"/>
  <c r="C623" i="9"/>
  <c r="C624" i="9"/>
  <c r="C628" i="9"/>
  <c r="C632" i="9"/>
  <c r="C622" i="9"/>
  <c r="C2054" i="9"/>
  <c r="C2055" i="9" s="1"/>
  <c r="C2042" i="9"/>
  <c r="C46" i="9" s="1"/>
  <c r="C2008" i="9"/>
  <c r="C45" i="9" s="1"/>
  <c r="E1992" i="9"/>
  <c r="E1965" i="9"/>
  <c r="C1933" i="9"/>
  <c r="C1942" i="9" s="1"/>
  <c r="C1969" i="9" s="1"/>
  <c r="C1931" i="9"/>
  <c r="C1948" i="9" s="1"/>
  <c r="C1975" i="9" s="1"/>
  <c r="C1939" i="9"/>
  <c r="C1940" i="9" s="1"/>
  <c r="C1967" i="9" s="1"/>
  <c r="C1912" i="9"/>
  <c r="C1913" i="9" s="1"/>
  <c r="C1904" i="9"/>
  <c r="C39" i="9" s="1"/>
  <c r="C1910" i="9"/>
  <c r="F1912" i="9" s="1"/>
  <c r="C490" i="9"/>
  <c r="C18" i="9" s="1"/>
  <c r="C627" i="9" s="1"/>
  <c r="C1831" i="9"/>
  <c r="C1826" i="9" s="1"/>
  <c r="C1829" i="9"/>
  <c r="C1822" i="9" s="1"/>
  <c r="C1828" i="9"/>
  <c r="E1828" i="9" s="1"/>
  <c r="C1781" i="9"/>
  <c r="C33" i="9" s="1"/>
  <c r="C1737" i="9"/>
  <c r="C1750" i="9" s="1"/>
  <c r="C576" i="9"/>
  <c r="C589" i="9" s="1"/>
  <c r="C540" i="9"/>
  <c r="C566" i="9" s="1"/>
  <c r="C525" i="9"/>
  <c r="C462" i="9"/>
  <c r="C461" i="9"/>
  <c r="C460" i="9"/>
  <c r="C459" i="9"/>
  <c r="C458" i="9"/>
  <c r="C457" i="9"/>
  <c r="C454" i="9"/>
  <c r="C456" i="9"/>
  <c r="C455" i="9"/>
  <c r="G457" i="9" s="1"/>
  <c r="C452" i="9"/>
  <c r="C451" i="9"/>
  <c r="G453" i="9" s="1"/>
  <c r="C450" i="9"/>
  <c r="C449" i="9"/>
  <c r="C448" i="9"/>
  <c r="C447" i="9"/>
  <c r="C446" i="9"/>
  <c r="C445" i="9"/>
  <c r="C444" i="9"/>
  <c r="F447" i="9" s="1"/>
  <c r="F260" i="17"/>
  <c r="F265" i="17"/>
  <c r="F264" i="17"/>
  <c r="F263" i="17"/>
  <c r="F262" i="17"/>
  <c r="F261" i="17"/>
  <c r="F258" i="17"/>
  <c r="F257" i="17"/>
  <c r="F255" i="17"/>
  <c r="F254" i="17"/>
  <c r="F252" i="17"/>
  <c r="F248" i="17"/>
  <c r="F245" i="17"/>
  <c r="F244" i="17"/>
  <c r="F243" i="17"/>
  <c r="F233" i="17"/>
  <c r="F230" i="17"/>
  <c r="F227" i="17"/>
  <c r="F225" i="17"/>
  <c r="F224" i="17"/>
  <c r="F220" i="17"/>
  <c r="F218" i="17"/>
  <c r="F219" i="17"/>
  <c r="C1823" i="9" s="1"/>
  <c r="C1844" i="9" s="1"/>
  <c r="F217" i="17"/>
  <c r="C1819" i="9" s="1"/>
  <c r="C1840" i="9" s="1"/>
  <c r="F216" i="17"/>
  <c r="F215" i="17"/>
  <c r="F214" i="17"/>
  <c r="F213" i="17"/>
  <c r="F212" i="17"/>
  <c r="F211" i="17"/>
  <c r="F210" i="17"/>
  <c r="F209" i="17"/>
  <c r="F208" i="17"/>
  <c r="F207" i="17"/>
  <c r="F205" i="17"/>
  <c r="F203" i="17"/>
  <c r="F201" i="17"/>
  <c r="F202" i="17"/>
  <c r="F200" i="17"/>
  <c r="F198" i="17"/>
  <c r="F196" i="17"/>
  <c r="F193" i="17"/>
  <c r="F190" i="17"/>
  <c r="F189" i="17"/>
  <c r="F182" i="17"/>
  <c r="F181" i="17"/>
  <c r="F174" i="17"/>
  <c r="C179" i="17"/>
  <c r="C1456" i="9" s="1"/>
  <c r="C178" i="17"/>
  <c r="C1455" i="9" s="1"/>
  <c r="C177" i="17"/>
  <c r="C1454" i="9" s="1"/>
  <c r="C176" i="17"/>
  <c r="C1453" i="9" s="1"/>
  <c r="C175" i="17"/>
  <c r="C1452" i="9" s="1"/>
  <c r="F179" i="17"/>
  <c r="F178" i="17"/>
  <c r="F177" i="17"/>
  <c r="F176" i="17"/>
  <c r="F175" i="17"/>
  <c r="F173" i="17"/>
  <c r="F172" i="17"/>
  <c r="F170" i="17"/>
  <c r="F169" i="17"/>
  <c r="F167" i="17"/>
  <c r="F162" i="17"/>
  <c r="F160" i="17"/>
  <c r="F159" i="17"/>
  <c r="F158" i="17"/>
  <c r="F156" i="17"/>
  <c r="F155" i="17"/>
  <c r="F154" i="17"/>
  <c r="F153" i="17"/>
  <c r="F151" i="17"/>
  <c r="F150" i="17"/>
  <c r="F149" i="17"/>
  <c r="F148" i="17"/>
  <c r="F147" i="17"/>
  <c r="F146" i="17"/>
  <c r="F145" i="17"/>
  <c r="F143" i="17"/>
  <c r="F141" i="17"/>
  <c r="F135" i="17"/>
  <c r="F133" i="17"/>
  <c r="F132" i="17"/>
  <c r="F131" i="17"/>
  <c r="F129" i="17"/>
  <c r="F125" i="17"/>
  <c r="F122" i="17"/>
  <c r="F120" i="17"/>
  <c r="F118" i="17"/>
  <c r="F117" i="17"/>
  <c r="F115" i="17"/>
  <c r="F113" i="17"/>
  <c r="F101" i="17"/>
  <c r="F140" i="17"/>
  <c r="F130" i="17"/>
  <c r="F127" i="17"/>
  <c r="F126" i="17"/>
  <c r="F124" i="17"/>
  <c r="F123" i="17"/>
  <c r="F99" i="17"/>
  <c r="F112" i="17"/>
  <c r="F95" i="17"/>
  <c r="F137" i="17"/>
  <c r="F119" i="17"/>
  <c r="F114" i="17"/>
  <c r="F106" i="17"/>
  <c r="F105" i="17"/>
  <c r="F102" i="17"/>
  <c r="F98" i="17"/>
  <c r="F97" i="17"/>
  <c r="F94" i="17"/>
  <c r="F134" i="17"/>
  <c r="F128" i="17"/>
  <c r="F121" i="17"/>
  <c r="F116" i="17"/>
  <c r="F107" i="17"/>
  <c r="F103" i="17"/>
  <c r="F111" i="17"/>
  <c r="F110" i="17"/>
  <c r="F109" i="17"/>
  <c r="F108" i="17"/>
  <c r="F104" i="17"/>
  <c r="F100" i="17"/>
  <c r="F96" i="17"/>
  <c r="F93" i="17"/>
  <c r="F92" i="17"/>
  <c r="F91" i="17"/>
  <c r="F90" i="17"/>
  <c r="F89" i="17"/>
  <c r="F87" i="17"/>
  <c r="F86" i="17"/>
  <c r="F88" i="17"/>
  <c r="F85" i="17"/>
  <c r="F84" i="17"/>
  <c r="F75" i="17"/>
  <c r="F26" i="17"/>
  <c r="C239" i="17"/>
  <c r="C237" i="17"/>
  <c r="C236" i="17"/>
  <c r="C221" i="17"/>
  <c r="C185" i="17"/>
  <c r="C1693" i="9" s="1"/>
  <c r="F1695" i="9" s="1"/>
  <c r="C167" i="17"/>
  <c r="C166" i="17"/>
  <c r="C142" i="17"/>
  <c r="C53" i="17"/>
  <c r="C677" i="9" s="1"/>
  <c r="H1281" i="9"/>
  <c r="F33" i="17"/>
  <c r="F27" i="17"/>
  <c r="F30" i="17"/>
  <c r="F39" i="17"/>
  <c r="C1835" i="9" s="1"/>
  <c r="C1836" i="9" s="1"/>
  <c r="F29" i="17"/>
  <c r="F31" i="17"/>
  <c r="C34" i="17"/>
  <c r="C1282" i="9" s="1"/>
  <c r="C1286" i="9" s="1"/>
  <c r="C32" i="17"/>
  <c r="C33" i="17" s="1"/>
  <c r="C31" i="17"/>
  <c r="C1279" i="9" s="1"/>
  <c r="C30" i="17"/>
  <c r="C1278" i="9" s="1"/>
  <c r="C29" i="17"/>
  <c r="C1277" i="9" s="1"/>
  <c r="C28" i="17"/>
  <c r="C1276" i="9" s="1"/>
  <c r="F34" i="17"/>
  <c r="F32" i="17"/>
  <c r="F28" i="17"/>
  <c r="C161" i="17"/>
  <c r="C160" i="17"/>
  <c r="C1419" i="9" s="1"/>
  <c r="C159" i="17"/>
  <c r="C1418" i="9" s="1"/>
  <c r="C158" i="17"/>
  <c r="C721" i="9" s="1"/>
  <c r="C157" i="17"/>
  <c r="C156" i="17"/>
  <c r="C155" i="17"/>
  <c r="C1415" i="9" s="1"/>
  <c r="C154" i="17"/>
  <c r="C1414" i="9" s="1"/>
  <c r="C153" i="17"/>
  <c r="C1413" i="9" s="1"/>
  <c r="C152" i="17"/>
  <c r="C151" i="17"/>
  <c r="C150" i="17"/>
  <c r="C1411" i="9" s="1"/>
  <c r="C149" i="17"/>
  <c r="C719" i="9" s="1"/>
  <c r="C148" i="17"/>
  <c r="C1055" i="9" s="1"/>
  <c r="C147" i="17"/>
  <c r="C718" i="9" s="1"/>
  <c r="C146" i="17"/>
  <c r="C145" i="17"/>
  <c r="C715" i="9" s="1"/>
  <c r="C144" i="17"/>
  <c r="C143" i="17"/>
  <c r="C1051" i="9" s="1"/>
  <c r="F83" i="17"/>
  <c r="F82" i="17"/>
  <c r="F81" i="17"/>
  <c r="F80" i="17"/>
  <c r="F79" i="17"/>
  <c r="F78" i="17"/>
  <c r="F77" i="17"/>
  <c r="F76" i="17"/>
  <c r="F74" i="17"/>
  <c r="F73" i="17"/>
  <c r="F72" i="17"/>
  <c r="F71" i="17"/>
  <c r="F70" i="17"/>
  <c r="F69" i="17"/>
  <c r="F68" i="17"/>
  <c r="F67" i="17"/>
  <c r="F66" i="17"/>
  <c r="F65" i="17"/>
  <c r="F64" i="17"/>
  <c r="F62" i="17"/>
  <c r="F61" i="17"/>
  <c r="F60" i="17"/>
  <c r="F59" i="17"/>
  <c r="F58" i="17"/>
  <c r="F57" i="17"/>
  <c r="F56" i="17"/>
  <c r="F54" i="17"/>
  <c r="F53" i="17"/>
  <c r="F51" i="17"/>
  <c r="F50" i="17"/>
  <c r="F49" i="17"/>
  <c r="F47" i="17"/>
  <c r="F46" i="17"/>
  <c r="F38" i="17"/>
  <c r="F43" i="17"/>
  <c r="F276" i="17"/>
  <c r="F272" i="17"/>
  <c r="F273" i="17"/>
  <c r="F277" i="17"/>
  <c r="F280" i="17"/>
  <c r="F281" i="17"/>
  <c r="F282" i="17"/>
  <c r="F279" i="17"/>
  <c r="F271" i="17"/>
  <c r="F275" i="17"/>
  <c r="F274" i="17"/>
  <c r="F270" i="17"/>
  <c r="F269" i="17"/>
  <c r="F268" i="17"/>
  <c r="F267" i="17"/>
  <c r="F301" i="17"/>
  <c r="C301" i="17"/>
  <c r="C300" i="17"/>
  <c r="C601" i="9" s="1"/>
  <c r="C612" i="9" s="1"/>
  <c r="C299" i="17"/>
  <c r="C298" i="17"/>
  <c r="C296" i="17"/>
  <c r="C297" i="17"/>
  <c r="C1709" i="9" s="1"/>
  <c r="F294" i="17"/>
  <c r="F292" i="17"/>
  <c r="F291" i="17"/>
  <c r="F290" i="17"/>
  <c r="F289" i="17"/>
  <c r="F288" i="17"/>
  <c r="F287" i="17"/>
  <c r="F286" i="17"/>
  <c r="F285" i="17"/>
  <c r="F284" i="17"/>
  <c r="F293" i="17"/>
  <c r="C292" i="17"/>
  <c r="C291" i="17"/>
  <c r="C290" i="17"/>
  <c r="C289" i="17"/>
  <c r="C288" i="17"/>
  <c r="C287" i="17"/>
  <c r="C286" i="17"/>
  <c r="C285" i="17"/>
  <c r="C284" i="17"/>
  <c r="C266" i="17"/>
  <c r="C265" i="17"/>
  <c r="C264" i="17"/>
  <c r="C263" i="17"/>
  <c r="C262" i="17"/>
  <c r="C261" i="17"/>
  <c r="C260" i="17"/>
  <c r="C259" i="17"/>
  <c r="C258" i="17"/>
  <c r="C257" i="17"/>
  <c r="C256" i="17"/>
  <c r="C255" i="17"/>
  <c r="C254" i="17"/>
  <c r="C252" i="17"/>
  <c r="C251" i="17"/>
  <c r="C250" i="17"/>
  <c r="C249" i="17"/>
  <c r="C247" i="17"/>
  <c r="C248" i="17"/>
  <c r="C244" i="17"/>
  <c r="C243" i="17"/>
  <c r="C242" i="17"/>
  <c r="C213" i="17"/>
  <c r="C210" i="17"/>
  <c r="C200" i="17"/>
  <c r="C1517" i="9" s="1"/>
  <c r="C199" i="17"/>
  <c r="C195" i="17"/>
  <c r="C194" i="17"/>
  <c r="C193" i="17"/>
  <c r="C192" i="17"/>
  <c r="C191" i="17"/>
  <c r="C186" i="17"/>
  <c r="C173" i="17"/>
  <c r="C174" i="17" s="1"/>
  <c r="C171" i="17"/>
  <c r="C172" i="17" s="1"/>
  <c r="C1447" i="9" s="1"/>
  <c r="C103" i="17"/>
  <c r="C75" i="17"/>
  <c r="C67" i="17"/>
  <c r="C65" i="17"/>
  <c r="C684" i="9" s="1"/>
  <c r="C64" i="17"/>
  <c r="C49" i="17"/>
  <c r="C25" i="17"/>
  <c r="C24" i="17"/>
  <c r="C23" i="17"/>
  <c r="C478" i="9" l="1"/>
  <c r="G828" i="9"/>
  <c r="C826" i="9"/>
  <c r="D5970" i="9" s="1"/>
  <c r="C1457" i="9"/>
  <c r="F5960" i="9" s="1"/>
  <c r="C1408" i="9"/>
  <c r="C716" i="9"/>
  <c r="C1399" i="9"/>
  <c r="C711" i="9"/>
  <c r="C974" i="9"/>
  <c r="C1677" i="9"/>
  <c r="C1057" i="9"/>
  <c r="C720" i="9"/>
  <c r="C1508" i="9"/>
  <c r="C1509" i="9" s="1"/>
  <c r="C1401" i="9"/>
  <c r="C1402" i="9"/>
  <c r="C1684" i="9"/>
  <c r="C1683" i="9"/>
  <c r="C1563" i="9"/>
  <c r="F5977" i="9" s="1"/>
  <c r="C4188" i="9" s="1"/>
  <c r="C1526" i="9"/>
  <c r="C202" i="17"/>
  <c r="C1519" i="9" s="1"/>
  <c r="C831" i="9"/>
  <c r="C830" i="9"/>
  <c r="C1505" i="9"/>
  <c r="C1506" i="9" s="1"/>
  <c r="C1502" i="9"/>
  <c r="C811" i="9"/>
  <c r="C813" i="9" s="1"/>
  <c r="C808" i="9"/>
  <c r="C1133" i="9"/>
  <c r="C1132" i="9"/>
  <c r="C1131" i="9"/>
  <c r="C807" i="9"/>
  <c r="C1134" i="9"/>
  <c r="C816" i="9"/>
  <c r="C814" i="9"/>
  <c r="C815" i="9" s="1"/>
  <c r="C786" i="9"/>
  <c r="C787" i="9" s="1"/>
  <c r="C1110" i="9"/>
  <c r="C1111" i="9" s="1"/>
  <c r="C1484" i="9"/>
  <c r="F5966" i="9" s="1"/>
  <c r="C832" i="9"/>
  <c r="G756" i="9"/>
  <c r="C1516" i="9"/>
  <c r="F5971" i="9" s="1"/>
  <c r="C5072" i="9" s="1"/>
  <c r="C5073" i="9" s="1"/>
  <c r="C1595" i="9"/>
  <c r="G1461" i="9"/>
  <c r="G1460" i="9"/>
  <c r="G1074" i="9"/>
  <c r="C1074" i="9"/>
  <c r="G1075" i="9" s="1"/>
  <c r="G755" i="9"/>
  <c r="C610" i="9"/>
  <c r="F611" i="9"/>
  <c r="F5956" i="9"/>
  <c r="F5885" i="9" s="1"/>
  <c r="F1437" i="9"/>
  <c r="F1435" i="9"/>
  <c r="G1088" i="9"/>
  <c r="G1090" i="9"/>
  <c r="G1089" i="9"/>
  <c r="C5785" i="9"/>
  <c r="F5786" i="9" s="1"/>
  <c r="C5564" i="9"/>
  <c r="C5565" i="9" s="1"/>
  <c r="C5756" i="9"/>
  <c r="C5554" i="9"/>
  <c r="C5555" i="9" s="1"/>
  <c r="C5742" i="9"/>
  <c r="C5628" i="9"/>
  <c r="C5622" i="9"/>
  <c r="C5623" i="9"/>
  <c r="C5624" i="9"/>
  <c r="C5625" i="9"/>
  <c r="C5616" i="9"/>
  <c r="C5617" i="9" s="1"/>
  <c r="C5618" i="9" s="1"/>
  <c r="C5575" i="9"/>
  <c r="C5637" i="9"/>
  <c r="C5385" i="9"/>
  <c r="C5386" i="9" s="1"/>
  <c r="C5414" i="9"/>
  <c r="C5415" i="9" s="1"/>
  <c r="C5161" i="9"/>
  <c r="C5162" i="9" s="1"/>
  <c r="C5356" i="9"/>
  <c r="C5302" i="9"/>
  <c r="C5303" i="9"/>
  <c r="C5304" i="9"/>
  <c r="C5305" i="9"/>
  <c r="C5296" i="9"/>
  <c r="C5297" i="9" s="1"/>
  <c r="C5298" i="9" s="1"/>
  <c r="C5308" i="9"/>
  <c r="C5278" i="9"/>
  <c r="C5264" i="9"/>
  <c r="C195" i="9" s="1"/>
  <c r="C5266" i="9"/>
  <c r="C5267" i="9" s="1"/>
  <c r="C5268" i="9" s="1"/>
  <c r="C5275" i="9"/>
  <c r="C5274" i="9"/>
  <c r="C5273" i="9"/>
  <c r="C5272" i="9"/>
  <c r="C5256" i="9"/>
  <c r="E5254" i="9" s="1"/>
  <c r="C5164" i="9"/>
  <c r="F5899" i="9"/>
  <c r="C5130" i="9"/>
  <c r="C5131" i="9" s="1"/>
  <c r="C5030" i="9"/>
  <c r="C5095" i="9"/>
  <c r="C5096" i="9" s="1"/>
  <c r="C3955" i="9"/>
  <c r="C3956" i="9" s="1"/>
  <c r="C3974" i="9"/>
  <c r="C3975" i="9" s="1"/>
  <c r="E3973" i="9" s="1"/>
  <c r="C3959" i="9"/>
  <c r="C3960" i="9" s="1"/>
  <c r="C3978" i="9"/>
  <c r="C3979" i="9" s="1"/>
  <c r="E3977" i="9" s="1"/>
  <c r="C3970" i="9"/>
  <c r="C3971" i="9" s="1"/>
  <c r="C3969" i="9" s="1"/>
  <c r="E5898" i="9"/>
  <c r="C4997" i="9"/>
  <c r="E5897" i="9"/>
  <c r="C4995" i="9"/>
  <c r="D5898" i="9"/>
  <c r="C4989" i="9"/>
  <c r="C4990" i="9" s="1"/>
  <c r="C4870" i="9"/>
  <c r="C4871" i="9" s="1"/>
  <c r="C4783" i="9"/>
  <c r="C4784" i="9" s="1"/>
  <c r="C4822" i="9"/>
  <c r="C4823" i="9" s="1"/>
  <c r="C4623" i="9"/>
  <c r="C4624" i="9" s="1"/>
  <c r="C4742" i="9"/>
  <c r="C4743" i="9" s="1"/>
  <c r="C4696" i="9"/>
  <c r="C4697" i="9" s="1"/>
  <c r="C4706" i="9"/>
  <c r="C4707" i="9" s="1"/>
  <c r="D5912" i="9"/>
  <c r="C4694" i="9"/>
  <c r="E5909" i="9"/>
  <c r="C4637" i="9"/>
  <c r="C4638" i="9" s="1"/>
  <c r="C4560" i="9"/>
  <c r="C4561" i="9" s="1"/>
  <c r="C4549" i="9"/>
  <c r="C4550" i="9" s="1"/>
  <c r="C4595" i="9"/>
  <c r="C4596" i="9" s="1"/>
  <c r="C4537" i="9"/>
  <c r="C4538" i="9" s="1"/>
  <c r="C4583" i="9"/>
  <c r="C4584" i="9" s="1"/>
  <c r="C4482" i="9"/>
  <c r="C4483" i="9" s="1"/>
  <c r="F5913" i="9"/>
  <c r="C4526" i="9"/>
  <c r="C4527" i="9" s="1"/>
  <c r="D5913" i="9"/>
  <c r="C4512" i="9"/>
  <c r="C4513" i="9" s="1"/>
  <c r="C4171" i="9"/>
  <c r="C4172" i="9" s="1"/>
  <c r="E4170" i="9" s="1"/>
  <c r="C4478" i="9"/>
  <c r="C4479" i="9" s="1"/>
  <c r="C4399" i="9"/>
  <c r="C4400" i="9" s="1"/>
  <c r="C4444" i="9"/>
  <c r="C4445" i="9" s="1"/>
  <c r="F5879" i="9"/>
  <c r="C4369" i="9"/>
  <c r="C4370" i="9" s="1"/>
  <c r="D5877" i="9"/>
  <c r="C4355" i="9"/>
  <c r="D5879" i="9"/>
  <c r="C4357" i="9"/>
  <c r="C4358" i="9" s="1"/>
  <c r="C3916" i="9"/>
  <c r="C3917" i="9" s="1"/>
  <c r="E5888" i="9"/>
  <c r="C4218" i="9"/>
  <c r="C4183" i="9"/>
  <c r="C4092" i="9"/>
  <c r="C4093" i="9" s="1"/>
  <c r="C4090" i="9"/>
  <c r="C4091" i="9" s="1"/>
  <c r="F4092" i="9" s="1"/>
  <c r="C4157" i="9"/>
  <c r="D5906" i="9"/>
  <c r="C4059" i="9"/>
  <c r="C4033" i="9"/>
  <c r="C4069" i="9"/>
  <c r="C4009" i="9"/>
  <c r="E4007" i="9" s="1"/>
  <c r="C3903" i="9"/>
  <c r="C3904" i="9" s="1"/>
  <c r="C3942" i="9"/>
  <c r="C3943" i="9" s="1"/>
  <c r="D5895" i="9"/>
  <c r="C3877" i="9"/>
  <c r="C3878" i="9" s="1"/>
  <c r="C3824" i="9"/>
  <c r="C3825" i="9" s="1"/>
  <c r="C3858" i="9"/>
  <c r="C3847" i="9"/>
  <c r="C3831" i="9"/>
  <c r="C124" i="9" s="1"/>
  <c r="C3833" i="9"/>
  <c r="C3834" i="9" s="1"/>
  <c r="C3835" i="9" s="1"/>
  <c r="C3839" i="9"/>
  <c r="C3840" i="9"/>
  <c r="C3843" i="9"/>
  <c r="C3844" i="9"/>
  <c r="E5901" i="9"/>
  <c r="C3788" i="9"/>
  <c r="C3789" i="9" s="1"/>
  <c r="C3666" i="9"/>
  <c r="C3667" i="9" s="1"/>
  <c r="C3674" i="9"/>
  <c r="C3676" i="9"/>
  <c r="C3677" i="9" s="1"/>
  <c r="C3686" i="9"/>
  <c r="C3687" i="9" s="1"/>
  <c r="C3682" i="9"/>
  <c r="C3683" i="9" s="1"/>
  <c r="C3703" i="9"/>
  <c r="C3704" i="9" s="1"/>
  <c r="C3684" i="9"/>
  <c r="C3685" i="9" s="1"/>
  <c r="C3622" i="9"/>
  <c r="C3623" i="9" s="1"/>
  <c r="F3624" i="9" s="1"/>
  <c r="C3563" i="9"/>
  <c r="C3564" i="9" s="1"/>
  <c r="C3539" i="9"/>
  <c r="C3540" i="9" s="1"/>
  <c r="C3551" i="9"/>
  <c r="C3552" i="9" s="1"/>
  <c r="C3484" i="9"/>
  <c r="C3485" i="9" s="1"/>
  <c r="C3474" i="9"/>
  <c r="C3475" i="9" s="1"/>
  <c r="C3553" i="9"/>
  <c r="C3554" i="9" s="1"/>
  <c r="C3490" i="9"/>
  <c r="C3491" i="9" s="1"/>
  <c r="C3565" i="9"/>
  <c r="C3566" i="9" s="1"/>
  <c r="C3501" i="9"/>
  <c r="C3493" i="9"/>
  <c r="C107" i="9" s="1"/>
  <c r="C3526" i="9"/>
  <c r="C3523" i="9"/>
  <c r="C3512" i="9"/>
  <c r="C3522" i="9"/>
  <c r="C3519" i="9"/>
  <c r="C3518" i="9"/>
  <c r="C3509" i="9"/>
  <c r="C3502" i="9"/>
  <c r="C3505" i="9"/>
  <c r="C3506" i="9"/>
  <c r="C3495" i="9"/>
  <c r="C3496" i="9" s="1"/>
  <c r="C3497" i="9" s="1"/>
  <c r="F5924" i="9"/>
  <c r="C3488" i="9"/>
  <c r="C3489" i="9" s="1"/>
  <c r="F5903" i="9"/>
  <c r="C3478" i="9"/>
  <c r="E5924" i="9"/>
  <c r="C3472" i="9"/>
  <c r="C3473" i="9" s="1"/>
  <c r="D5924" i="9"/>
  <c r="C3454" i="9"/>
  <c r="C3455" i="9" s="1"/>
  <c r="C3421" i="9"/>
  <c r="C3422" i="9" s="1"/>
  <c r="C3460" i="9"/>
  <c r="C3360" i="9"/>
  <c r="C3361" i="9" s="1"/>
  <c r="E5902" i="9"/>
  <c r="C3308" i="9"/>
  <c r="E5925" i="9"/>
  <c r="C3285" i="9"/>
  <c r="C3286" i="9" s="1"/>
  <c r="F5922" i="9"/>
  <c r="C3318" i="9"/>
  <c r="F5925" i="9"/>
  <c r="C2691" i="9"/>
  <c r="C2692" i="9" s="1"/>
  <c r="C2596" i="9"/>
  <c r="C2597" i="9" s="1"/>
  <c r="C2707" i="9"/>
  <c r="C2708" i="9" s="1"/>
  <c r="C2612" i="9"/>
  <c r="C2613" i="9" s="1"/>
  <c r="C2675" i="9"/>
  <c r="C2676" i="9" s="1"/>
  <c r="C2580" i="9"/>
  <c r="C2581" i="9" s="1"/>
  <c r="C3258" i="9"/>
  <c r="C2697" i="9"/>
  <c r="C2698" i="9" s="1"/>
  <c r="C3314" i="9"/>
  <c r="C3315" i="9" s="1"/>
  <c r="C3204" i="9"/>
  <c r="C3205" i="9" s="1"/>
  <c r="C3160" i="9"/>
  <c r="C3161" i="9" s="1"/>
  <c r="C3056" i="9"/>
  <c r="C3057" i="9" s="1"/>
  <c r="C2553" i="9"/>
  <c r="C2554" i="9" s="1"/>
  <c r="C2541" i="9"/>
  <c r="C2542" i="9" s="1"/>
  <c r="C3010" i="9"/>
  <c r="C3011" i="9" s="1"/>
  <c r="C2995" i="9"/>
  <c r="C2986" i="9"/>
  <c r="C2987" i="9" s="1"/>
  <c r="C2988" i="9" s="1"/>
  <c r="C2994" i="9"/>
  <c r="C2993" i="9"/>
  <c r="C2990" i="9"/>
  <c r="C2989" i="9"/>
  <c r="C2855" i="9"/>
  <c r="C2856" i="9" s="1"/>
  <c r="C2816" i="9"/>
  <c r="C2817" i="9" s="1"/>
  <c r="C2871" i="9"/>
  <c r="C2872" i="9" s="1"/>
  <c r="F5969" i="9"/>
  <c r="C5128" i="9" s="1"/>
  <c r="C1000" i="9"/>
  <c r="G1001" i="9" s="1"/>
  <c r="E5951" i="9"/>
  <c r="C5809" i="9" s="1"/>
  <c r="F1469" i="9"/>
  <c r="F5964" i="9"/>
  <c r="C1314" i="9"/>
  <c r="F5948" i="9"/>
  <c r="C5792" i="9" s="1"/>
  <c r="F1196" i="9"/>
  <c r="E5979" i="9"/>
  <c r="C1317" i="9"/>
  <c r="F5949" i="9"/>
  <c r="C1296" i="9"/>
  <c r="F5944" i="9"/>
  <c r="F5873" i="9" s="1"/>
  <c r="F773" i="9"/>
  <c r="D5964" i="9"/>
  <c r="C2315" i="9"/>
  <c r="C2316" i="9" s="1"/>
  <c r="G846" i="9"/>
  <c r="G845" i="9"/>
  <c r="G844" i="9"/>
  <c r="G843" i="9"/>
  <c r="C1636" i="9"/>
  <c r="C2497" i="9" s="1"/>
  <c r="C2498" i="9" s="1"/>
  <c r="C2431" i="9"/>
  <c r="F2433" i="9" s="1"/>
  <c r="C2493" i="9"/>
  <c r="C2458" i="9"/>
  <c r="C2452" i="9"/>
  <c r="C2313" i="9"/>
  <c r="C2314" i="9" s="1"/>
  <c r="C2439" i="9"/>
  <c r="C2440" i="9" s="1"/>
  <c r="E2438" i="9" s="1"/>
  <c r="C2376" i="9"/>
  <c r="C2377" i="9" s="1"/>
  <c r="C2351" i="9"/>
  <c r="C2352" i="9" s="1"/>
  <c r="C2303" i="9"/>
  <c r="C2304" i="9" s="1"/>
  <c r="C538" i="9"/>
  <c r="C539" i="9"/>
  <c r="C2271" i="9"/>
  <c r="C2277" i="9"/>
  <c r="C1478" i="9"/>
  <c r="C1481" i="9"/>
  <c r="C1480" i="9"/>
  <c r="C1482" i="9"/>
  <c r="C1593" i="9"/>
  <c r="C1594" i="9" s="1"/>
  <c r="C1204" i="9"/>
  <c r="C891" i="9"/>
  <c r="C1475" i="9"/>
  <c r="C1109" i="9"/>
  <c r="C1695" i="9"/>
  <c r="C1471" i="9"/>
  <c r="C777" i="9"/>
  <c r="C775" i="9"/>
  <c r="C774" i="9"/>
  <c r="C1108" i="9"/>
  <c r="C1107" i="9"/>
  <c r="C1470" i="9"/>
  <c r="C1474" i="9"/>
  <c r="C1104" i="9"/>
  <c r="C776" i="9"/>
  <c r="C778" i="9"/>
  <c r="C1106" i="9"/>
  <c r="C1473" i="9"/>
  <c r="C1105" i="9"/>
  <c r="C1472" i="9"/>
  <c r="G1179" i="9"/>
  <c r="G1168" i="9"/>
  <c r="G1170" i="9"/>
  <c r="G1177" i="9"/>
  <c r="G1174" i="9"/>
  <c r="G1176" i="9"/>
  <c r="G1173" i="9"/>
  <c r="G1175" i="9"/>
  <c r="G1172" i="9"/>
  <c r="G1180" i="9"/>
  <c r="G1169" i="9"/>
  <c r="G1171" i="9"/>
  <c r="G1498" i="9"/>
  <c r="G1499" i="9"/>
  <c r="G1500" i="9"/>
  <c r="C660" i="9"/>
  <c r="C1240" i="9"/>
  <c r="E5993" i="9" s="1"/>
  <c r="F1198" i="9"/>
  <c r="C1091" i="9"/>
  <c r="E5961" i="9" s="1"/>
  <c r="G1251" i="9"/>
  <c r="C678" i="9"/>
  <c r="D5952" i="9" s="1"/>
  <c r="C751" i="9"/>
  <c r="D5959" i="9" s="1"/>
  <c r="C5251" i="9" s="1"/>
  <c r="C668" i="9"/>
  <c r="D5949" i="9" s="1"/>
  <c r="C1002" i="9"/>
  <c r="E5952" i="9" s="1"/>
  <c r="C1637" i="9"/>
  <c r="C1237" i="9"/>
  <c r="C687" i="9"/>
  <c r="C1353" i="9"/>
  <c r="C1022" i="9"/>
  <c r="C1641" i="9"/>
  <c r="C1635" i="9"/>
  <c r="C925" i="9"/>
  <c r="C1659" i="9"/>
  <c r="C1253" i="9"/>
  <c r="C1673" i="9"/>
  <c r="C955" i="9"/>
  <c r="C965" i="9" s="1"/>
  <c r="C1356" i="9"/>
  <c r="C691" i="9"/>
  <c r="C1571" i="9"/>
  <c r="C872" i="9"/>
  <c r="G873" i="9" s="1"/>
  <c r="C1018" i="9"/>
  <c r="C686" i="9"/>
  <c r="C1351" i="9"/>
  <c r="C1030" i="9"/>
  <c r="C694" i="9"/>
  <c r="C1375" i="9"/>
  <c r="C1039" i="9"/>
  <c r="C701" i="9"/>
  <c r="C1043" i="9"/>
  <c r="C704" i="9"/>
  <c r="C1210" i="9"/>
  <c r="C897" i="9"/>
  <c r="G898" i="9" s="1"/>
  <c r="C1601" i="9"/>
  <c r="C1212" i="9"/>
  <c r="C898" i="9"/>
  <c r="C1213" i="9"/>
  <c r="C1211" i="9"/>
  <c r="C1602" i="9"/>
  <c r="C899" i="9"/>
  <c r="C900" i="9" s="1"/>
  <c r="C1254" i="9"/>
  <c r="C944" i="9"/>
  <c r="C1052" i="9"/>
  <c r="C1053" i="9" s="1"/>
  <c r="C465" i="9"/>
  <c r="C875" i="9"/>
  <c r="C877" i="9" s="1"/>
  <c r="C1573" i="9"/>
  <c r="C1575" i="9" s="1"/>
  <c r="C874" i="9"/>
  <c r="C876" i="9" s="1"/>
  <c r="C1574" i="9"/>
  <c r="C1019" i="9"/>
  <c r="C1384" i="9"/>
  <c r="C1044" i="9"/>
  <c r="C705" i="9"/>
  <c r="G855" i="9"/>
  <c r="C1054" i="9"/>
  <c r="C717" i="9"/>
  <c r="C1579" i="9"/>
  <c r="C1577" i="9" s="1"/>
  <c r="F5979" i="9" s="1"/>
  <c r="C881" i="9"/>
  <c r="C878" i="9" s="1"/>
  <c r="C1020" i="9"/>
  <c r="C1359" i="9"/>
  <c r="C695" i="9"/>
  <c r="C1031" i="9"/>
  <c r="C1035" i="9"/>
  <c r="C697" i="9"/>
  <c r="C702" i="9"/>
  <c r="C1040" i="9"/>
  <c r="C1045" i="9"/>
  <c r="C706" i="9"/>
  <c r="E1938" i="9"/>
  <c r="C1607" i="9"/>
  <c r="C905" i="9"/>
  <c r="C904" i="9" s="1"/>
  <c r="C1612" i="9"/>
  <c r="C1613" i="9" s="1"/>
  <c r="C1214" i="9"/>
  <c r="C1751" i="9"/>
  <c r="C30" i="9" s="1"/>
  <c r="C907" i="9"/>
  <c r="C906" i="9" s="1"/>
  <c r="C1617" i="9"/>
  <c r="C1638" i="9"/>
  <c r="C1639" i="9" s="1"/>
  <c r="C1021" i="9"/>
  <c r="C1352" i="9"/>
  <c r="C1041" i="9"/>
  <c r="C703" i="9"/>
  <c r="G1337" i="9"/>
  <c r="C1335" i="9"/>
  <c r="F5952" i="9" s="1"/>
  <c r="G881" i="9"/>
  <c r="C1047" i="9"/>
  <c r="C1152" i="9"/>
  <c r="C2278" i="9" s="1"/>
  <c r="C2279" i="9" s="1"/>
  <c r="F1153" i="9"/>
  <c r="C1339" i="9"/>
  <c r="C1010" i="9"/>
  <c r="C1011" i="9" s="1"/>
  <c r="C683" i="9"/>
  <c r="C1008" i="9"/>
  <c r="C1009" i="9"/>
  <c r="C1056" i="9"/>
  <c r="C675" i="9"/>
  <c r="D5951" i="9" s="1"/>
  <c r="G1459" i="9"/>
  <c r="C1681" i="9"/>
  <c r="C1682" i="9" s="1"/>
  <c r="C1680" i="9"/>
  <c r="C1678" i="9"/>
  <c r="C1679" i="9"/>
  <c r="C1077" i="9"/>
  <c r="C744" i="9"/>
  <c r="C1354" i="9"/>
  <c r="C689" i="9"/>
  <c r="C1024" i="9"/>
  <c r="C696" i="9"/>
  <c r="C1033" i="9"/>
  <c r="C1038" i="9"/>
  <c r="C699" i="9"/>
  <c r="C1046" i="9"/>
  <c r="C707" i="9"/>
  <c r="C818" i="9"/>
  <c r="D5968" i="9" s="1"/>
  <c r="C1640" i="9"/>
  <c r="C1660" i="9"/>
  <c r="C1661" i="9" s="1"/>
  <c r="C1255" i="9"/>
  <c r="C1623" i="9"/>
  <c r="C908" i="9"/>
  <c r="C1217" i="9"/>
  <c r="E5988" i="9" s="1"/>
  <c r="C1662" i="9"/>
  <c r="C1663" i="9"/>
  <c r="C945" i="9"/>
  <c r="C1037" i="9"/>
  <c r="C698" i="9"/>
  <c r="C1016" i="9"/>
  <c r="C1350" i="9"/>
  <c r="C1028" i="9"/>
  <c r="C692" i="9"/>
  <c r="C1357" i="9"/>
  <c r="C836" i="9"/>
  <c r="D5972" i="9" s="1"/>
  <c r="C4004" i="9" s="1"/>
  <c r="C765" i="9"/>
  <c r="D5962" i="9" s="1"/>
  <c r="F1549" i="9"/>
  <c r="C1025" i="9"/>
  <c r="C1355" i="9"/>
  <c r="C690" i="9"/>
  <c r="C1634" i="9"/>
  <c r="C1766" i="9"/>
  <c r="C31" i="9" s="1"/>
  <c r="C35" i="9" s="1"/>
  <c r="C36" i="9" s="1"/>
  <c r="C37" i="9" s="1"/>
  <c r="C849" i="9"/>
  <c r="C848" i="9" s="1"/>
  <c r="D5975" i="9" s="1"/>
  <c r="D5904" i="9" s="1"/>
  <c r="C1549" i="9"/>
  <c r="C1552" i="9"/>
  <c r="C1551" i="9"/>
  <c r="C693" i="9"/>
  <c r="C1029" i="9"/>
  <c r="G1464" i="9"/>
  <c r="C1462" i="9"/>
  <c r="F5962" i="9" s="1"/>
  <c r="C1527" i="9"/>
  <c r="F5972" i="9" s="1"/>
  <c r="C4012" i="9" s="1"/>
  <c r="C688" i="9"/>
  <c r="C1023" i="9"/>
  <c r="C1346" i="9"/>
  <c r="C1012" i="9"/>
  <c r="C1013" i="9"/>
  <c r="C1014" i="9"/>
  <c r="C1015" i="9"/>
  <c r="C1227" i="9"/>
  <c r="C1228" i="9" s="1"/>
  <c r="C915" i="9"/>
  <c r="C916" i="9" s="1"/>
  <c r="C913" i="9"/>
  <c r="C914" i="9" s="1"/>
  <c r="G915" i="9" s="1"/>
  <c r="C1225" i="9"/>
  <c r="C926" i="9"/>
  <c r="C1642" i="9"/>
  <c r="C946" i="9"/>
  <c r="C1664" i="9"/>
  <c r="C890" i="9"/>
  <c r="C1590" i="9"/>
  <c r="C1591" i="9"/>
  <c r="C889" i="9"/>
  <c r="C886" i="9"/>
  <c r="C1592" i="9"/>
  <c r="C888" i="9"/>
  <c r="C1589" i="9"/>
  <c r="C887" i="9"/>
  <c r="C1588" i="9"/>
  <c r="C923" i="9"/>
  <c r="C1235" i="9"/>
  <c r="C1631" i="9"/>
  <c r="C1234" i="9"/>
  <c r="C1230" i="9"/>
  <c r="C1632" i="9"/>
  <c r="C1232" i="9"/>
  <c r="C1233" i="9" s="1"/>
  <c r="C918" i="9"/>
  <c r="G919" i="9" s="1"/>
  <c r="C921" i="9"/>
  <c r="C922" i="9" s="1"/>
  <c r="C919" i="9"/>
  <c r="C920" i="9" s="1"/>
  <c r="C1630" i="9"/>
  <c r="C1644" i="9"/>
  <c r="C1239" i="9"/>
  <c r="C928" i="9"/>
  <c r="C927" i="9"/>
  <c r="C1643" i="9"/>
  <c r="C1238" i="9"/>
  <c r="C724" i="9"/>
  <c r="C1049" i="9"/>
  <c r="C1050" i="9" s="1"/>
  <c r="C714" i="9"/>
  <c r="C763" i="9"/>
  <c r="D5961" i="9" s="1"/>
  <c r="G1102" i="9"/>
  <c r="C1100" i="9"/>
  <c r="E5964" i="9" s="1"/>
  <c r="G1098" i="9"/>
  <c r="C1096" i="9"/>
  <c r="E5962" i="9" s="1"/>
  <c r="G998" i="9"/>
  <c r="C996" i="9"/>
  <c r="E5949" i="9" s="1"/>
  <c r="G1567" i="9"/>
  <c r="C1201" i="9"/>
  <c r="C1200" i="9"/>
  <c r="C1199" i="9"/>
  <c r="C1203" i="9"/>
  <c r="C1202" i="9"/>
  <c r="G933" i="9"/>
  <c r="G931" i="9"/>
  <c r="C1183" i="9"/>
  <c r="C1182" i="9"/>
  <c r="G932" i="9"/>
  <c r="G939" i="9"/>
  <c r="C1156" i="9"/>
  <c r="G1157" i="9" s="1"/>
  <c r="C941" i="9"/>
  <c r="G938" i="9"/>
  <c r="G937" i="9"/>
  <c r="G936" i="9"/>
  <c r="G935" i="9"/>
  <c r="C950" i="9"/>
  <c r="D5996" i="9" s="1"/>
  <c r="C5145" i="9" s="1"/>
  <c r="C5146" i="9" s="1"/>
  <c r="G865" i="9"/>
  <c r="G934" i="9"/>
  <c r="G1166" i="9"/>
  <c r="G1165" i="9"/>
  <c r="C939" i="9"/>
  <c r="C2448" i="9" s="1"/>
  <c r="C2449" i="9" s="1"/>
  <c r="C2447" i="9" s="1"/>
  <c r="G854" i="9"/>
  <c r="G867" i="9"/>
  <c r="G859" i="9"/>
  <c r="G860" i="9"/>
  <c r="G861" i="9"/>
  <c r="G862" i="9"/>
  <c r="G858" i="9"/>
  <c r="G863" i="9"/>
  <c r="G857" i="9"/>
  <c r="G864" i="9"/>
  <c r="G856" i="9"/>
  <c r="G880" i="9"/>
  <c r="C2205" i="9"/>
  <c r="C2206" i="9" s="1"/>
  <c r="C840" i="9"/>
  <c r="D5974" i="9" s="1"/>
  <c r="C2226" i="9"/>
  <c r="C58" i="9" s="1"/>
  <c r="C2245" i="9"/>
  <c r="F2246" i="9" s="1"/>
  <c r="C2244" i="9"/>
  <c r="C2239" i="9"/>
  <c r="F2240" i="9" s="1"/>
  <c r="C2235" i="9"/>
  <c r="C2240" i="9"/>
  <c r="C2241" i="9"/>
  <c r="C2246" i="9"/>
  <c r="C2233" i="9"/>
  <c r="F2234" i="9" s="1"/>
  <c r="C2238" i="9"/>
  <c r="C2208" i="9"/>
  <c r="C2215" i="9"/>
  <c r="C2216" i="9"/>
  <c r="C2223" i="9"/>
  <c r="C2224" i="9"/>
  <c r="C55" i="9"/>
  <c r="C2189" i="9"/>
  <c r="C2190" i="9"/>
  <c r="C2191" i="9"/>
  <c r="C2183" i="9"/>
  <c r="C2184" i="9"/>
  <c r="C2185" i="9"/>
  <c r="C2192" i="9"/>
  <c r="C2186" i="9"/>
  <c r="C2193" i="9"/>
  <c r="C2187" i="9"/>
  <c r="C2194" i="9"/>
  <c r="C2195" i="9"/>
  <c r="C2188" i="9"/>
  <c r="C2167" i="9"/>
  <c r="C54" i="9" s="1"/>
  <c r="C2150" i="9"/>
  <c r="C2162" i="9" s="1"/>
  <c r="C2136" i="9"/>
  <c r="C2143" i="9"/>
  <c r="C2129" i="9"/>
  <c r="C2140" i="9"/>
  <c r="C2130" i="9"/>
  <c r="C2131" i="9"/>
  <c r="C2138" i="9"/>
  <c r="C2134" i="9"/>
  <c r="F2135" i="9"/>
  <c r="C2149" i="9"/>
  <c r="C2147" i="9"/>
  <c r="C2148" i="9"/>
  <c r="C2128" i="9"/>
  <c r="C2139" i="9"/>
  <c r="C52" i="9"/>
  <c r="C2145" i="9"/>
  <c r="C2137" i="9"/>
  <c r="C2118" i="9"/>
  <c r="C51" i="9"/>
  <c r="C2112" i="9"/>
  <c r="C2117" i="9"/>
  <c r="C2119" i="9"/>
  <c r="C2120" i="9"/>
  <c r="C2121" i="9"/>
  <c r="C2113" i="9"/>
  <c r="C2123" i="9"/>
  <c r="C2111" i="9"/>
  <c r="C2122" i="9"/>
  <c r="C2114" i="9"/>
  <c r="C2124" i="9"/>
  <c r="C2115" i="9"/>
  <c r="C2125" i="9"/>
  <c r="C2116" i="9"/>
  <c r="C2104" i="9"/>
  <c r="C2093" i="9"/>
  <c r="C2101" i="9" s="1"/>
  <c r="C2106" i="9"/>
  <c r="C49" i="9"/>
  <c r="C48" i="9"/>
  <c r="C2083" i="9"/>
  <c r="C2084" i="9"/>
  <c r="C2085" i="9"/>
  <c r="C2086" i="9"/>
  <c r="C2087" i="9"/>
  <c r="C2079" i="9"/>
  <c r="C2088" i="9"/>
  <c r="C2080" i="9"/>
  <c r="C2089" i="9"/>
  <c r="C2081" i="9"/>
  <c r="C2090" i="9"/>
  <c r="C2082" i="9"/>
  <c r="F2084" i="9" s="1"/>
  <c r="C2091" i="9"/>
  <c r="C2068" i="9"/>
  <c r="C2069" i="9"/>
  <c r="C2070" i="9"/>
  <c r="C2071" i="9"/>
  <c r="C2072" i="9"/>
  <c r="C2064" i="9"/>
  <c r="C2073" i="9"/>
  <c r="C2065" i="9"/>
  <c r="C2074" i="9"/>
  <c r="C2066" i="9"/>
  <c r="C2075" i="9"/>
  <c r="C2067" i="9"/>
  <c r="C2076" i="9"/>
  <c r="C991" i="9"/>
  <c r="C1323" i="9"/>
  <c r="C1365" i="9"/>
  <c r="C1366" i="9" s="1"/>
  <c r="C1344" i="9"/>
  <c r="C1373" i="9"/>
  <c r="C653" i="9"/>
  <c r="C708" i="9"/>
  <c r="C1383" i="9"/>
  <c r="C1387" i="9"/>
  <c r="C992" i="9"/>
  <c r="C1403" i="9"/>
  <c r="C1372" i="9"/>
  <c r="C1368" i="9"/>
  <c r="C1362" i="9"/>
  <c r="C1371" i="9"/>
  <c r="C1377" i="9"/>
  <c r="C1400" i="9"/>
  <c r="C1420" i="9"/>
  <c r="C1340" i="9"/>
  <c r="C1347" i="9"/>
  <c r="C1348" i="9" s="1"/>
  <c r="C1378" i="9"/>
  <c r="C1421" i="9"/>
  <c r="C1423" i="9" s="1"/>
  <c r="C1341" i="9"/>
  <c r="C1342" i="9" s="1"/>
  <c r="C1349" i="9"/>
  <c r="C1032" i="9"/>
  <c r="C1345" i="9"/>
  <c r="C1369" i="9"/>
  <c r="C1405" i="9"/>
  <c r="C1412" i="9"/>
  <c r="C1450" i="9"/>
  <c r="C1280" i="9"/>
  <c r="C1281" i="9" s="1"/>
  <c r="C1392" i="9"/>
  <c r="C1451" i="9"/>
  <c r="C834" i="9"/>
  <c r="C835" i="9" s="1"/>
  <c r="C1446" i="9"/>
  <c r="C1438" i="9"/>
  <c r="G1439" i="9" s="1"/>
  <c r="C1520" i="9"/>
  <c r="C1521" i="9"/>
  <c r="C1443" i="9"/>
  <c r="G1444" i="9" s="1"/>
  <c r="C1444" i="9"/>
  <c r="C1445" i="9"/>
  <c r="C1518" i="9"/>
  <c r="G1530" i="9"/>
  <c r="G1301" i="9"/>
  <c r="G1533" i="9"/>
  <c r="G1488" i="9"/>
  <c r="G1487" i="9"/>
  <c r="G1532" i="9"/>
  <c r="E5966" i="9"/>
  <c r="G1518" i="9"/>
  <c r="G1531" i="9"/>
  <c r="G1491" i="9"/>
  <c r="G1490" i="9"/>
  <c r="G1492" i="9"/>
  <c r="G1291" i="9"/>
  <c r="G1486" i="9"/>
  <c r="G1489" i="9"/>
  <c r="G1512" i="9"/>
  <c r="G1529" i="9"/>
  <c r="G1442" i="9"/>
  <c r="G1443" i="9"/>
  <c r="G1468" i="9"/>
  <c r="G1321" i="9"/>
  <c r="G1427" i="9"/>
  <c r="G1290" i="9"/>
  <c r="G1292" i="9"/>
  <c r="C1428" i="9"/>
  <c r="C1316" i="9"/>
  <c r="G1317" i="9" s="1"/>
  <c r="C1429" i="9"/>
  <c r="C1430" i="9"/>
  <c r="C1417" i="9"/>
  <c r="C722" i="9"/>
  <c r="C723" i="9"/>
  <c r="C1409" i="9"/>
  <c r="C1410" i="9"/>
  <c r="C1416" i="9"/>
  <c r="G1300" i="9"/>
  <c r="G1138" i="9"/>
  <c r="C1288" i="9"/>
  <c r="F5943" i="9" s="1"/>
  <c r="G1280" i="9"/>
  <c r="G1279" i="9"/>
  <c r="G1277" i="9"/>
  <c r="G772" i="9"/>
  <c r="G824" i="9"/>
  <c r="G820" i="9"/>
  <c r="G823" i="9"/>
  <c r="C1287" i="9"/>
  <c r="G825" i="9"/>
  <c r="G1149" i="9"/>
  <c r="G1278" i="9"/>
  <c r="C1283" i="9"/>
  <c r="C1284" i="9"/>
  <c r="C1285" i="9"/>
  <c r="G1142" i="9"/>
  <c r="G1141" i="9"/>
  <c r="C761" i="9"/>
  <c r="G742" i="9"/>
  <c r="G797" i="9"/>
  <c r="C1072" i="9"/>
  <c r="G753" i="9"/>
  <c r="G754" i="9"/>
  <c r="G799" i="9"/>
  <c r="G798" i="9"/>
  <c r="G801" i="9"/>
  <c r="G1118" i="9"/>
  <c r="G1115" i="9"/>
  <c r="G740" i="9"/>
  <c r="C649" i="9"/>
  <c r="G760" i="9"/>
  <c r="G761" i="9"/>
  <c r="G741" i="9"/>
  <c r="C762" i="9"/>
  <c r="G800" i="9"/>
  <c r="C1059" i="9"/>
  <c r="G1005" i="9"/>
  <c r="C1058" i="9"/>
  <c r="G796" i="9"/>
  <c r="C1060" i="9"/>
  <c r="G795" i="9"/>
  <c r="C1061" i="9"/>
  <c r="C737" i="9"/>
  <c r="G791" i="9"/>
  <c r="G794" i="9"/>
  <c r="C993" i="9"/>
  <c r="G793" i="9"/>
  <c r="C994" i="9"/>
  <c r="G739" i="9"/>
  <c r="G802" i="9"/>
  <c r="G792" i="9"/>
  <c r="G1004" i="9"/>
  <c r="G1006" i="9"/>
  <c r="C732" i="9"/>
  <c r="C733" i="9"/>
  <c r="C734" i="9"/>
  <c r="C1925" i="9"/>
  <c r="C1938" i="9" s="1"/>
  <c r="C1965" i="9" s="1"/>
  <c r="C1930" i="9"/>
  <c r="C1957" i="9" s="1"/>
  <c r="C1935" i="9"/>
  <c r="C1950" i="9" s="1"/>
  <c r="C1977" i="9" s="1"/>
  <c r="C2059" i="9"/>
  <c r="C2058" i="9"/>
  <c r="E2057" i="9" s="1"/>
  <c r="C2043" i="9"/>
  <c r="C2056" i="9"/>
  <c r="C2044" i="9"/>
  <c r="C2057" i="9"/>
  <c r="C2045" i="9"/>
  <c r="C2051" i="9"/>
  <c r="C2046" i="9"/>
  <c r="F2048" i="9" s="1"/>
  <c r="C2060" i="9"/>
  <c r="C2047" i="9"/>
  <c r="C2048" i="9"/>
  <c r="C2049" i="9"/>
  <c r="C2053" i="9"/>
  <c r="C2050" i="9"/>
  <c r="C2052" i="9"/>
  <c r="C2033" i="9"/>
  <c r="C2032" i="9"/>
  <c r="C2034" i="9"/>
  <c r="C2035" i="9"/>
  <c r="C2036" i="9"/>
  <c r="C2025" i="9"/>
  <c r="C2037" i="9"/>
  <c r="C2026" i="9"/>
  <c r="C2038" i="9"/>
  <c r="C2027" i="9"/>
  <c r="C2039" i="9"/>
  <c r="C2028" i="9"/>
  <c r="C2040" i="9"/>
  <c r="C2029" i="9"/>
  <c r="C2041" i="9"/>
  <c r="C2030" i="9"/>
  <c r="C44" i="9"/>
  <c r="C43" i="9" s="1"/>
  <c r="C2007" i="9" s="1"/>
  <c r="C2061" i="9" s="1"/>
  <c r="C2031" i="9"/>
  <c r="C2015" i="9"/>
  <c r="C2016" i="9"/>
  <c r="C2014" i="9"/>
  <c r="C2017" i="9"/>
  <c r="C2018" i="9"/>
  <c r="C2019" i="9"/>
  <c r="C2020" i="9"/>
  <c r="C2009" i="9"/>
  <c r="C2021" i="9"/>
  <c r="C2010" i="9"/>
  <c r="C2022" i="9"/>
  <c r="C2011" i="9"/>
  <c r="C2023" i="9"/>
  <c r="C2012" i="9"/>
  <c r="C2024" i="9"/>
  <c r="C2013" i="9"/>
  <c r="C2002" i="9"/>
  <c r="C1985" i="9"/>
  <c r="C1987" i="9"/>
  <c r="C1996" i="9"/>
  <c r="C1993" i="9"/>
  <c r="C1994" i="9"/>
  <c r="C1960" i="9"/>
  <c r="C1958" i="9"/>
  <c r="C1966" i="9"/>
  <c r="C1934" i="9"/>
  <c r="C1941" i="9"/>
  <c r="C1932" i="9"/>
  <c r="C1947" i="9"/>
  <c r="C1916" i="9"/>
  <c r="F1918" i="9" s="1"/>
  <c r="C1917" i="9"/>
  <c r="C1905" i="9"/>
  <c r="C1906" i="9"/>
  <c r="C1907" i="9"/>
  <c r="C1908" i="9"/>
  <c r="C1918" i="9"/>
  <c r="C1919" i="9"/>
  <c r="C1909" i="9"/>
  <c r="C1914" i="9"/>
  <c r="C1915" i="9"/>
  <c r="C1911" i="9"/>
  <c r="C1920" i="9"/>
  <c r="C1921" i="9"/>
  <c r="C1922" i="9"/>
  <c r="E1921" i="9" s="1"/>
  <c r="C1923" i="9"/>
  <c r="C1924" i="9"/>
  <c r="C496" i="9"/>
  <c r="C493" i="9"/>
  <c r="C497" i="9"/>
  <c r="C498" i="9"/>
  <c r="C494" i="9"/>
  <c r="C499" i="9"/>
  <c r="C500" i="9"/>
  <c r="C501" i="9"/>
  <c r="C502" i="9"/>
  <c r="C503" i="9"/>
  <c r="C504" i="9"/>
  <c r="C505" i="9"/>
  <c r="C491" i="9"/>
  <c r="C506" i="9"/>
  <c r="C492" i="9"/>
  <c r="C495" i="9"/>
  <c r="C1816" i="9"/>
  <c r="C1817" i="9"/>
  <c r="C1838" i="9" s="1"/>
  <c r="C1811" i="9"/>
  <c r="C1812" i="9" s="1"/>
  <c r="C1821" i="9"/>
  <c r="C1839" i="9"/>
  <c r="F1831" i="9"/>
  <c r="C1830" i="9"/>
  <c r="C1841" i="9"/>
  <c r="C1842" i="9"/>
  <c r="C1832" i="9"/>
  <c r="C1824" i="9"/>
  <c r="C1843" i="9"/>
  <c r="C1825" i="9"/>
  <c r="C1845" i="9"/>
  <c r="C1820" i="9"/>
  <c r="C1846" i="9"/>
  <c r="C1810" i="9"/>
  <c r="C1800" i="9"/>
  <c r="C1801" i="9"/>
  <c r="C1809" i="9"/>
  <c r="C1802" i="9"/>
  <c r="C1803" i="9"/>
  <c r="C1804" i="9"/>
  <c r="C1795" i="9"/>
  <c r="C1805" i="9"/>
  <c r="C1796" i="9"/>
  <c r="C1806" i="9"/>
  <c r="C1797" i="9"/>
  <c r="C1807" i="9"/>
  <c r="C1798" i="9"/>
  <c r="C1808" i="9"/>
  <c r="C1799" i="9"/>
  <c r="C1786" i="9"/>
  <c r="C1787" i="9"/>
  <c r="C1788" i="9"/>
  <c r="C1789" i="9"/>
  <c r="C1790" i="9"/>
  <c r="C1791" i="9"/>
  <c r="C1792" i="9"/>
  <c r="C1783" i="9"/>
  <c r="C1793" i="9"/>
  <c r="C1784" i="9"/>
  <c r="C1794" i="9"/>
  <c r="C1785" i="9"/>
  <c r="C32" i="9"/>
  <c r="C1782" i="9"/>
  <c r="C29" i="9"/>
  <c r="C1740" i="9"/>
  <c r="C1741" i="9"/>
  <c r="C1739" i="9"/>
  <c r="C1742" i="9"/>
  <c r="C1743" i="9"/>
  <c r="C1744" i="9"/>
  <c r="C1745" i="9"/>
  <c r="C1746" i="9"/>
  <c r="C1747" i="9"/>
  <c r="C1748" i="9"/>
  <c r="C1749" i="9"/>
  <c r="C1738" i="9"/>
  <c r="C567" i="9"/>
  <c r="C22" i="9" s="1"/>
  <c r="C631" i="9" s="1"/>
  <c r="C574" i="9"/>
  <c r="F576" i="9" s="1"/>
  <c r="C1724" i="9"/>
  <c r="C1725" i="9"/>
  <c r="C1726" i="9"/>
  <c r="C1727" i="9"/>
  <c r="C1728" i="9"/>
  <c r="C1729" i="9"/>
  <c r="C1730" i="9"/>
  <c r="C1731" i="9"/>
  <c r="C1732" i="9"/>
  <c r="C1733" i="9"/>
  <c r="C1722" i="9"/>
  <c r="C1734" i="9"/>
  <c r="C1723" i="9"/>
  <c r="C1711" i="9"/>
  <c r="C1712" i="9"/>
  <c r="C1713" i="9"/>
  <c r="C1714" i="9"/>
  <c r="C1715" i="9"/>
  <c r="C1716" i="9"/>
  <c r="C1717" i="9"/>
  <c r="C1718" i="9"/>
  <c r="C1719" i="9"/>
  <c r="C1720" i="9"/>
  <c r="C1721" i="9"/>
  <c r="C1710" i="9"/>
  <c r="C26" i="9"/>
  <c r="C1694" i="9"/>
  <c r="C1699" i="9"/>
  <c r="F1701" i="9" s="1"/>
  <c r="C1700" i="9"/>
  <c r="C1705" i="9"/>
  <c r="F1707" i="9" s="1"/>
  <c r="C1706" i="9"/>
  <c r="C602" i="9"/>
  <c r="C611" i="9"/>
  <c r="C577" i="9"/>
  <c r="C582" i="9"/>
  <c r="C583" i="9"/>
  <c r="C588" i="9"/>
  <c r="C545" i="9"/>
  <c r="C546" i="9"/>
  <c r="C547" i="9"/>
  <c r="C548" i="9"/>
  <c r="C556" i="9"/>
  <c r="C554" i="9"/>
  <c r="C557" i="9"/>
  <c r="C541" i="9"/>
  <c r="C21" i="9"/>
  <c r="C630" i="9" s="1"/>
  <c r="C529" i="9"/>
  <c r="C555" i="9"/>
  <c r="C542" i="9"/>
  <c r="C558" i="9"/>
  <c r="C543" i="9"/>
  <c r="C559" i="9"/>
  <c r="C544" i="9"/>
  <c r="C560" i="9"/>
  <c r="C561" i="9"/>
  <c r="C549" i="9"/>
  <c r="C562" i="9"/>
  <c r="C550" i="9"/>
  <c r="C563" i="9"/>
  <c r="C551" i="9"/>
  <c r="C564" i="9"/>
  <c r="C552" i="9"/>
  <c r="C565" i="9"/>
  <c r="C553" i="9"/>
  <c r="C20" i="9"/>
  <c r="C629" i="9" s="1"/>
  <c r="C530" i="9"/>
  <c r="C531" i="9"/>
  <c r="C532" i="9"/>
  <c r="C533" i="9"/>
  <c r="C534" i="9"/>
  <c r="C535" i="9"/>
  <c r="C536" i="9"/>
  <c r="C537" i="9"/>
  <c r="C527" i="9"/>
  <c r="C528" i="9"/>
  <c r="C526" i="9"/>
  <c r="C463" i="9"/>
  <c r="C443" i="9" s="1"/>
  <c r="C466" i="9" s="1"/>
  <c r="C464" i="9"/>
  <c r="E620" i="9"/>
  <c r="C488" i="9" l="1"/>
  <c r="C477" i="9"/>
  <c r="C474" i="9" s="1"/>
  <c r="C487" i="9"/>
  <c r="C484" i="9"/>
  <c r="G1340" i="9"/>
  <c r="G1683" i="9"/>
  <c r="C1676" i="9"/>
  <c r="F6002" i="9" s="1"/>
  <c r="G1684" i="9"/>
  <c r="G1524" i="9"/>
  <c r="G1525" i="9"/>
  <c r="C1130" i="9"/>
  <c r="E5967" i="9" s="1"/>
  <c r="C5049" i="9" s="1"/>
  <c r="C5050" i="9" s="1"/>
  <c r="G1135" i="9"/>
  <c r="C1103" i="9"/>
  <c r="G1112" i="9"/>
  <c r="C4949" i="9"/>
  <c r="C4950" i="9" s="1"/>
  <c r="C5057" i="9"/>
  <c r="C5058" i="9" s="1"/>
  <c r="C5093" i="9"/>
  <c r="C5094" i="9" s="1"/>
  <c r="F5900" i="9"/>
  <c r="C5003" i="9"/>
  <c r="C5004" i="9" s="1"/>
  <c r="C4976" i="9"/>
  <c r="C4977" i="9" s="1"/>
  <c r="G726" i="9"/>
  <c r="G720" i="9"/>
  <c r="G721" i="9"/>
  <c r="G722" i="9"/>
  <c r="G725" i="9"/>
  <c r="G723" i="9"/>
  <c r="G724" i="9"/>
  <c r="G717" i="9"/>
  <c r="G718" i="9"/>
  <c r="G719" i="9"/>
  <c r="G716" i="9"/>
  <c r="C599" i="9"/>
  <c r="D5903" i="9"/>
  <c r="C4470" i="9"/>
  <c r="C4471" i="9" s="1"/>
  <c r="F4472" i="9" s="1"/>
  <c r="C4303" i="9"/>
  <c r="C4304" i="9" s="1"/>
  <c r="F3425" i="9"/>
  <c r="C5810" i="9"/>
  <c r="E5808" i="9" s="1"/>
  <c r="C5786" i="9"/>
  <c r="C5787" i="9" s="1"/>
  <c r="C5805" i="9"/>
  <c r="C5793" i="9"/>
  <c r="F5794" i="9" s="1"/>
  <c r="C5750" i="9"/>
  <c r="C5751" i="9" s="1"/>
  <c r="F5752" i="9" s="1"/>
  <c r="C5758" i="9"/>
  <c r="C5759" i="9" s="1"/>
  <c r="C5775" i="9"/>
  <c r="C5744" i="9"/>
  <c r="C5745" i="9" s="1"/>
  <c r="C5752" i="9"/>
  <c r="C5753" i="9" s="1"/>
  <c r="C5771" i="9"/>
  <c r="C5772" i="9" s="1"/>
  <c r="C5746" i="9"/>
  <c r="C5747" i="9" s="1"/>
  <c r="C5767" i="9"/>
  <c r="C5768" i="9" s="1"/>
  <c r="C5757" i="9"/>
  <c r="F5758" i="9" s="1"/>
  <c r="C5743" i="9"/>
  <c r="F5744" i="9" s="1"/>
  <c r="C5579" i="9"/>
  <c r="C5580" i="9" s="1"/>
  <c r="C5601" i="9"/>
  <c r="C5651" i="9"/>
  <c r="C5591" i="9"/>
  <c r="C5638" i="9"/>
  <c r="F5639" i="9" s="1"/>
  <c r="C5605" i="9"/>
  <c r="C5606" i="9" s="1"/>
  <c r="C5576" i="9"/>
  <c r="C5531" i="9"/>
  <c r="C5525" i="9"/>
  <c r="C5526" i="9" s="1"/>
  <c r="F5527" i="9" s="1"/>
  <c r="C5577" i="9"/>
  <c r="E5878" i="9"/>
  <c r="C5558" i="9"/>
  <c r="C5559" i="9" s="1"/>
  <c r="E5557" i="9" s="1"/>
  <c r="F5878" i="9"/>
  <c r="C5562" i="9"/>
  <c r="C5563" i="9" s="1"/>
  <c r="F5564" i="9" s="1"/>
  <c r="D5878" i="9"/>
  <c r="C5552" i="9"/>
  <c r="C5553" i="9" s="1"/>
  <c r="F5554" i="9" s="1"/>
  <c r="E5880" i="9"/>
  <c r="C5512" i="9"/>
  <c r="C5485" i="9"/>
  <c r="C5508" i="9"/>
  <c r="C5442" i="9"/>
  <c r="C5443" i="9" s="1"/>
  <c r="C5452" i="9"/>
  <c r="C5453" i="9" s="1"/>
  <c r="C5446" i="9"/>
  <c r="C5447" i="9" s="1"/>
  <c r="D5880" i="9"/>
  <c r="C5440" i="9"/>
  <c r="C5394" i="9"/>
  <c r="C5395" i="9" s="1"/>
  <c r="C5402" i="9"/>
  <c r="C5403" i="9" s="1"/>
  <c r="F5404" i="9" s="1"/>
  <c r="C5381" i="9"/>
  <c r="C5382" i="9" s="1"/>
  <c r="C5410" i="9"/>
  <c r="C5369" i="9"/>
  <c r="C5370" i="9" s="1"/>
  <c r="C5398" i="9"/>
  <c r="C5399" i="9" s="1"/>
  <c r="C5336" i="9"/>
  <c r="C5365" i="9"/>
  <c r="C5344" i="9"/>
  <c r="C5373" i="9"/>
  <c r="C5124" i="9"/>
  <c r="C5125" i="9" s="1"/>
  <c r="F5126" i="9" s="1"/>
  <c r="C5352" i="9"/>
  <c r="C5141" i="9"/>
  <c r="C5340" i="9"/>
  <c r="C3513" i="9"/>
  <c r="C3514" i="9" s="1"/>
  <c r="C5106" i="9"/>
  <c r="C5107" i="9" s="1"/>
  <c r="C5242" i="9"/>
  <c r="C5243" i="9" s="1"/>
  <c r="C5238" i="9"/>
  <c r="C5239" i="9" s="1"/>
  <c r="C5252" i="9"/>
  <c r="F5872" i="9"/>
  <c r="C5177" i="9"/>
  <c r="D5899" i="9"/>
  <c r="C5112" i="9"/>
  <c r="C5129" i="9"/>
  <c r="C4996" i="9"/>
  <c r="F4997" i="9" s="1"/>
  <c r="C5023" i="9"/>
  <c r="C5022" i="9" s="1"/>
  <c r="C5089" i="9"/>
  <c r="C5090" i="9" s="1"/>
  <c r="E3954" i="9"/>
  <c r="C3951" i="9"/>
  <c r="C3952" i="9" s="1"/>
  <c r="C3965" i="9"/>
  <c r="C3973" i="9" s="1"/>
  <c r="F5898" i="9"/>
  <c r="C5001" i="9"/>
  <c r="D5897" i="9"/>
  <c r="C4987" i="9"/>
  <c r="C4876" i="9"/>
  <c r="C4877" i="9" s="1"/>
  <c r="C4886" i="9"/>
  <c r="C4887" i="9" s="1"/>
  <c r="C4866" i="9"/>
  <c r="C4867" i="9" s="1"/>
  <c r="C4880" i="9"/>
  <c r="C4881" i="9" s="1"/>
  <c r="C4890" i="9"/>
  <c r="C4891" i="9" s="1"/>
  <c r="C4359" i="9"/>
  <c r="C4360" i="9" s="1"/>
  <c r="C4363" i="9"/>
  <c r="C4364" i="9" s="1"/>
  <c r="C4791" i="9"/>
  <c r="C4803" i="9"/>
  <c r="C4779" i="9"/>
  <c r="C4811" i="9"/>
  <c r="C4812" i="9" s="1"/>
  <c r="C4807" i="9"/>
  <c r="C4808" i="9" s="1"/>
  <c r="C4838" i="9"/>
  <c r="C4839" i="9" s="1"/>
  <c r="C4795" i="9"/>
  <c r="C4796" i="9" s="1"/>
  <c r="C4830" i="9"/>
  <c r="C4831" i="9" s="1"/>
  <c r="C4799" i="9"/>
  <c r="C4800" i="9" s="1"/>
  <c r="C4647" i="9"/>
  <c r="C4648" i="9" s="1"/>
  <c r="C4766" i="9"/>
  <c r="C4767" i="9" s="1"/>
  <c r="C4635" i="9"/>
  <c r="C4636" i="9" s="1"/>
  <c r="C4754" i="9"/>
  <c r="C4755" i="9" s="1"/>
  <c r="C4631" i="9"/>
  <c r="C4632" i="9" s="1"/>
  <c r="F4633" i="9" s="1"/>
  <c r="C4750" i="9"/>
  <c r="C4723" i="9"/>
  <c r="C4724" i="9" s="1"/>
  <c r="C4758" i="9"/>
  <c r="C4759" i="9" s="1"/>
  <c r="C4643" i="9"/>
  <c r="C4644" i="9" s="1"/>
  <c r="C4762" i="9"/>
  <c r="C4619" i="9"/>
  <c r="C4620" i="9" s="1"/>
  <c r="C4738" i="9"/>
  <c r="C4729" i="9"/>
  <c r="C4730" i="9" s="1"/>
  <c r="C4770" i="9"/>
  <c r="C4771" i="9" s="1"/>
  <c r="C4570" i="9"/>
  <c r="C4571" i="9" s="1"/>
  <c r="F4572" i="9" s="1"/>
  <c r="C4572" i="9"/>
  <c r="C4573" i="9" s="1"/>
  <c r="C4558" i="9"/>
  <c r="C4559" i="9" s="1"/>
  <c r="F4560" i="9" s="1"/>
  <c r="C4566" i="9"/>
  <c r="C4567" i="9" s="1"/>
  <c r="C4472" i="9"/>
  <c r="C4473" i="9" s="1"/>
  <c r="C4564" i="9"/>
  <c r="C4565" i="9" s="1"/>
  <c r="F4566" i="9" s="1"/>
  <c r="C4423" i="9"/>
  <c r="C4424" i="9" s="1"/>
  <c r="C4476" i="9"/>
  <c r="C4477" i="9" s="1"/>
  <c r="C4411" i="9"/>
  <c r="C4412" i="9" s="1"/>
  <c r="C4462" i="9"/>
  <c r="C4463" i="9" s="1"/>
  <c r="C4086" i="9"/>
  <c r="C4087" i="9" s="1"/>
  <c r="C4466" i="9"/>
  <c r="C4467" i="9" s="1"/>
  <c r="C4078" i="9"/>
  <c r="C4079" i="9" s="1"/>
  <c r="F4080" i="9" s="1"/>
  <c r="C4446" i="9"/>
  <c r="C4447" i="9" s="1"/>
  <c r="C4407" i="9"/>
  <c r="C4460" i="9"/>
  <c r="C4461" i="9" s="1"/>
  <c r="C4419" i="9"/>
  <c r="C4474" i="9"/>
  <c r="C4475" i="9" s="1"/>
  <c r="C4395" i="9"/>
  <c r="C4442" i="9"/>
  <c r="C4443" i="9" s="1"/>
  <c r="E5908" i="9"/>
  <c r="C4415" i="9"/>
  <c r="C4416" i="9" s="1"/>
  <c r="F5908" i="9"/>
  <c r="C4427" i="9"/>
  <c r="C4428" i="9" s="1"/>
  <c r="C4309" i="9"/>
  <c r="C4275" i="9"/>
  <c r="C4276" i="9" s="1"/>
  <c r="F5877" i="9"/>
  <c r="C4367" i="9"/>
  <c r="D5890" i="9"/>
  <c r="C4324" i="9"/>
  <c r="E5890" i="9"/>
  <c r="C4334" i="9"/>
  <c r="C3938" i="9"/>
  <c r="C3939" i="9" s="1"/>
  <c r="C3928" i="9"/>
  <c r="C3929" i="9" s="1"/>
  <c r="C4336" i="9"/>
  <c r="C4337" i="9" s="1"/>
  <c r="C3934" i="9"/>
  <c r="C3935" i="9" s="1"/>
  <c r="F3936" i="9" s="1"/>
  <c r="C4313" i="9"/>
  <c r="C4314" i="9" s="1"/>
  <c r="F5891" i="9"/>
  <c r="C4311" i="9"/>
  <c r="C4312" i="9" s="1"/>
  <c r="E5891" i="9"/>
  <c r="C4295" i="9"/>
  <c r="C4296" i="9" s="1"/>
  <c r="C3924" i="9"/>
  <c r="C3925" i="9" s="1"/>
  <c r="F3926" i="9" s="1"/>
  <c r="C4297" i="9"/>
  <c r="C4298" i="9" s="1"/>
  <c r="C3912" i="9"/>
  <c r="C3913" i="9" s="1"/>
  <c r="C4281" i="9"/>
  <c r="C4282" i="9" s="1"/>
  <c r="D5891" i="9"/>
  <c r="C4279" i="9"/>
  <c r="C4280" i="9" s="1"/>
  <c r="C4258" i="9"/>
  <c r="C4259" i="9" s="1"/>
  <c r="E4257" i="9" s="1"/>
  <c r="F5889" i="9"/>
  <c r="C4241" i="9"/>
  <c r="C4242" i="9" s="1"/>
  <c r="E4240" i="9" s="1"/>
  <c r="D5888" i="9"/>
  <c r="C4212" i="9"/>
  <c r="C4219" i="9"/>
  <c r="E4217" i="9" s="1"/>
  <c r="C4189" i="9"/>
  <c r="E4187" i="9" s="1"/>
  <c r="E4089" i="9"/>
  <c r="C4158" i="9"/>
  <c r="E4156" i="9" s="1"/>
  <c r="F5906" i="9"/>
  <c r="C4067" i="9"/>
  <c r="C4060" i="9"/>
  <c r="F4061" i="9" s="1"/>
  <c r="C4070" i="9"/>
  <c r="C4034" i="9"/>
  <c r="E4030" i="9" s="1"/>
  <c r="C3716" i="9"/>
  <c r="C3717" i="9" s="1"/>
  <c r="E3715" i="9" s="1"/>
  <c r="C4046" i="9"/>
  <c r="C4013" i="9"/>
  <c r="E4011" i="9" s="1"/>
  <c r="C4005" i="9"/>
  <c r="C4003" i="9" s="1"/>
  <c r="F5895" i="9"/>
  <c r="C3899" i="9"/>
  <c r="C3900" i="9" s="1"/>
  <c r="E5895" i="9"/>
  <c r="C3889" i="9"/>
  <c r="C3890" i="9" s="1"/>
  <c r="E5893" i="9"/>
  <c r="C3885" i="9"/>
  <c r="F5893" i="9"/>
  <c r="C3895" i="9"/>
  <c r="D5893" i="9"/>
  <c r="C3873" i="9"/>
  <c r="C3820" i="9"/>
  <c r="C3821" i="9" s="1"/>
  <c r="C3854" i="9"/>
  <c r="C3828" i="9"/>
  <c r="C3829" i="9" s="1"/>
  <c r="C3862" i="9"/>
  <c r="C3859" i="9"/>
  <c r="E3857" i="9" s="1"/>
  <c r="D5901" i="9"/>
  <c r="C3782" i="9"/>
  <c r="C3783" i="9" s="1"/>
  <c r="F5901" i="9"/>
  <c r="C3794" i="9"/>
  <c r="C3795" i="9" s="1"/>
  <c r="E3698" i="9"/>
  <c r="C3668" i="9"/>
  <c r="C3669" i="9" s="1"/>
  <c r="C3675" i="9"/>
  <c r="F3676" i="9" s="1"/>
  <c r="C3626" i="9"/>
  <c r="C3627" i="9" s="1"/>
  <c r="F3626" i="9"/>
  <c r="C3466" i="9"/>
  <c r="C3467" i="9" s="1"/>
  <c r="C3547" i="9"/>
  <c r="C3456" i="9"/>
  <c r="C3457" i="9" s="1"/>
  <c r="C3541" i="9"/>
  <c r="C3542" i="9" s="1"/>
  <c r="C3479" i="9"/>
  <c r="F3480" i="9" s="1"/>
  <c r="C3444" i="9"/>
  <c r="C3461" i="9"/>
  <c r="F3423" i="9"/>
  <c r="C3400" i="9"/>
  <c r="C3401" i="9" s="1"/>
  <c r="C3425" i="9"/>
  <c r="E5917" i="9"/>
  <c r="C3383" i="9"/>
  <c r="E3284" i="9"/>
  <c r="C2977" i="9"/>
  <c r="C2978" i="9" s="1"/>
  <c r="E5881" i="9"/>
  <c r="C3300" i="9"/>
  <c r="C3301" i="9" s="1"/>
  <c r="D5925" i="9"/>
  <c r="C2973" i="9"/>
  <c r="C2974" i="9" s="1"/>
  <c r="D5881" i="9"/>
  <c r="C2981" i="9"/>
  <c r="C2982" i="9" s="1"/>
  <c r="F5881" i="9"/>
  <c r="C3262" i="9"/>
  <c r="E5922" i="9"/>
  <c r="C2685" i="9"/>
  <c r="C2686" i="9" s="1"/>
  <c r="C2590" i="9"/>
  <c r="C2677" i="9"/>
  <c r="C2678" i="9" s="1"/>
  <c r="C2582" i="9"/>
  <c r="C2583" i="9" s="1"/>
  <c r="C2701" i="9"/>
  <c r="C2702" i="9" s="1"/>
  <c r="C2606" i="9"/>
  <c r="C2671" i="9"/>
  <c r="C2672" i="9" s="1"/>
  <c r="C2576" i="9"/>
  <c r="C2705" i="9"/>
  <c r="C2706" i="9" s="1"/>
  <c r="C2610" i="9"/>
  <c r="C2611" i="9" s="1"/>
  <c r="C2689" i="9"/>
  <c r="C2690" i="9" s="1"/>
  <c r="C2594" i="9"/>
  <c r="C2595" i="9" s="1"/>
  <c r="C3296" i="9"/>
  <c r="C3297" i="9" s="1"/>
  <c r="C3249" i="9"/>
  <c r="C3156" i="9"/>
  <c r="C3157" i="9" s="1"/>
  <c r="C3182" i="9"/>
  <c r="C3183" i="9" s="1"/>
  <c r="C3162" i="9"/>
  <c r="C3163" i="9" s="1"/>
  <c r="C3178" i="9"/>
  <c r="C3179" i="9" s="1"/>
  <c r="C3198" i="9"/>
  <c r="C3199" i="9" s="1"/>
  <c r="C3202" i="9"/>
  <c r="C3203" i="9" s="1"/>
  <c r="C3036" i="9"/>
  <c r="C3037" i="9" s="1"/>
  <c r="C2547" i="9"/>
  <c r="C3026" i="9"/>
  <c r="C2559" i="9"/>
  <c r="C3042" i="9"/>
  <c r="C2537" i="9"/>
  <c r="C3006" i="9"/>
  <c r="C3046" i="9"/>
  <c r="C3047" i="9" s="1"/>
  <c r="C2563" i="9"/>
  <c r="C2564" i="9" s="1"/>
  <c r="C3030" i="9"/>
  <c r="C3031" i="9" s="1"/>
  <c r="C2551" i="9"/>
  <c r="C2552" i="9" s="1"/>
  <c r="C2890" i="9"/>
  <c r="C2891" i="9" s="1"/>
  <c r="F2892" i="9" s="1"/>
  <c r="C2917" i="9"/>
  <c r="C2884" i="9"/>
  <c r="F2886" i="9" s="1"/>
  <c r="C2907" i="9"/>
  <c r="C2896" i="9"/>
  <c r="C2897" i="9" s="1"/>
  <c r="F2898" i="9" s="1"/>
  <c r="C2925" i="9"/>
  <c r="C2808" i="9"/>
  <c r="C2863" i="9"/>
  <c r="C2784" i="9"/>
  <c r="C2785" i="9" s="1"/>
  <c r="C2837" i="9"/>
  <c r="C2838" i="9" s="1"/>
  <c r="C2794" i="9"/>
  <c r="C2847" i="9"/>
  <c r="C2829" i="9"/>
  <c r="C2776" i="9"/>
  <c r="C2755" i="9"/>
  <c r="C2756" i="9" s="1"/>
  <c r="E5986" i="9"/>
  <c r="E5915" i="9" s="1"/>
  <c r="C1550" i="9"/>
  <c r="G1551" i="9" s="1"/>
  <c r="F5975" i="9"/>
  <c r="F5904" i="9" s="1"/>
  <c r="C2759" i="9"/>
  <c r="C2737" i="9"/>
  <c r="C1236" i="9"/>
  <c r="E5992" i="9" s="1"/>
  <c r="C975" i="9"/>
  <c r="D6002" i="9"/>
  <c r="E5957" i="9"/>
  <c r="E5956" i="9"/>
  <c r="C2749" i="9"/>
  <c r="C909" i="9"/>
  <c r="D5988" i="9"/>
  <c r="C2745" i="9"/>
  <c r="C2746" i="9" s="1"/>
  <c r="D5987" i="9"/>
  <c r="D5916" i="9" s="1"/>
  <c r="C2743" i="9"/>
  <c r="C2744" i="9" s="1"/>
  <c r="D5986" i="9"/>
  <c r="D5915" i="9" s="1"/>
  <c r="F878" i="9"/>
  <c r="D5979" i="9"/>
  <c r="F652" i="9"/>
  <c r="D5935" i="9"/>
  <c r="D5864" i="9" s="1"/>
  <c r="D5957" i="9"/>
  <c r="D5956" i="9"/>
  <c r="F666" i="9"/>
  <c r="D5947" i="9"/>
  <c r="C5139" i="9" s="1"/>
  <c r="C1708" i="9"/>
  <c r="C2650" i="9"/>
  <c r="C2512" i="9"/>
  <c r="C2513" i="9" s="1"/>
  <c r="C2652" i="9"/>
  <c r="C2653" i="9" s="1"/>
  <c r="C2514" i="9"/>
  <c r="C2515" i="9" s="1"/>
  <c r="C2656" i="9"/>
  <c r="C2657" i="9" s="1"/>
  <c r="E2655" i="9" s="1"/>
  <c r="C2520" i="9"/>
  <c r="C2521" i="9" s="1"/>
  <c r="C2627" i="9"/>
  <c r="C2628" i="9" s="1"/>
  <c r="C2633" i="9"/>
  <c r="C2625" i="9"/>
  <c r="C1215" i="9"/>
  <c r="C1216" i="9" s="1"/>
  <c r="C745" i="9"/>
  <c r="G747" i="9" s="1"/>
  <c r="G685" i="9"/>
  <c r="C685" i="9"/>
  <c r="G708" i="9" s="1"/>
  <c r="G1640" i="9"/>
  <c r="G1638" i="9"/>
  <c r="G1639" i="9"/>
  <c r="G1636" i="9"/>
  <c r="G1637" i="9"/>
  <c r="G1239" i="9"/>
  <c r="G1238" i="9"/>
  <c r="C2432" i="9"/>
  <c r="E2430" i="9" s="1"/>
  <c r="C2494" i="9"/>
  <c r="C2487" i="9" s="1"/>
  <c r="C2457" i="9"/>
  <c r="C69" i="9" s="1"/>
  <c r="C2468" i="9"/>
  <c r="C2459" i="9"/>
  <c r="C2460" i="9" s="1"/>
  <c r="C2461" i="9" s="1"/>
  <c r="C2465" i="9"/>
  <c r="C2464" i="9"/>
  <c r="C2463" i="9"/>
  <c r="C2462" i="9"/>
  <c r="C2453" i="9"/>
  <c r="C2443" i="9" s="1"/>
  <c r="C2295" i="9"/>
  <c r="C2296" i="9" s="1"/>
  <c r="C2425" i="9"/>
  <c r="C782" i="9"/>
  <c r="G788" i="9" s="1"/>
  <c r="C2264" i="9"/>
  <c r="C2284" i="9" s="1"/>
  <c r="C964" i="9"/>
  <c r="E2275" i="9"/>
  <c r="C2269" i="9"/>
  <c r="C1758" i="9"/>
  <c r="F668" i="9"/>
  <c r="G1191" i="9"/>
  <c r="C833" i="9"/>
  <c r="C829" i="9" s="1"/>
  <c r="D5971" i="9" s="1"/>
  <c r="C1701" i="9"/>
  <c r="C1146" i="9"/>
  <c r="C1145" i="9" s="1"/>
  <c r="E5971" i="9" s="1"/>
  <c r="E5900" i="9" s="1"/>
  <c r="C1707" i="9"/>
  <c r="C1476" i="9"/>
  <c r="C1477" i="9"/>
  <c r="C1696" i="9"/>
  <c r="C1702" i="9"/>
  <c r="G1183" i="9"/>
  <c r="G1184" i="9"/>
  <c r="G1185" i="9"/>
  <c r="G1186" i="9"/>
  <c r="G1187" i="9"/>
  <c r="G1188" i="9"/>
  <c r="G1189" i="9"/>
  <c r="G1190" i="9"/>
  <c r="G1341" i="9"/>
  <c r="C963" i="9"/>
  <c r="F675" i="9"/>
  <c r="C1757" i="9"/>
  <c r="C1756" i="9"/>
  <c r="C968" i="9"/>
  <c r="C956" i="9"/>
  <c r="F672" i="9"/>
  <c r="C1760" i="9"/>
  <c r="C1765" i="9"/>
  <c r="C1761" i="9"/>
  <c r="G1520" i="9"/>
  <c r="C1752" i="9"/>
  <c r="C1762" i="9"/>
  <c r="G874" i="9"/>
  <c r="C1754" i="9"/>
  <c r="C959" i="9"/>
  <c r="C1764" i="9"/>
  <c r="C902" i="9"/>
  <c r="C1778" i="9"/>
  <c r="C1753" i="9"/>
  <c r="C1763" i="9"/>
  <c r="C1767" i="9"/>
  <c r="C1853" i="9"/>
  <c r="C1780" i="9"/>
  <c r="C1863" i="9"/>
  <c r="C1768" i="9"/>
  <c r="C1854" i="9"/>
  <c r="F682" i="9"/>
  <c r="C970" i="9"/>
  <c r="D5999" i="9" s="1"/>
  <c r="D5928" i="9" s="1"/>
  <c r="G946" i="9"/>
  <c r="C958" i="9"/>
  <c r="C961" i="9"/>
  <c r="F678" i="9"/>
  <c r="C1769" i="9"/>
  <c r="C1424" i="9"/>
  <c r="F1563" i="9"/>
  <c r="C1440" i="9"/>
  <c r="F5959" i="9" s="1"/>
  <c r="C5259" i="9" s="1"/>
  <c r="C1771" i="9"/>
  <c r="C1851" i="9"/>
  <c r="C967" i="9"/>
  <c r="G945" i="9"/>
  <c r="C1587" i="9"/>
  <c r="F5982" i="9" s="1"/>
  <c r="G888" i="9"/>
  <c r="C943" i="9"/>
  <c r="D5994" i="9" s="1"/>
  <c r="C1770" i="9"/>
  <c r="C1862" i="9"/>
  <c r="C1755" i="9"/>
  <c r="C1759" i="9"/>
  <c r="C1779" i="9"/>
  <c r="C1855" i="9"/>
  <c r="C929" i="9"/>
  <c r="D5993" i="9" s="1"/>
  <c r="G1255" i="9"/>
  <c r="G1324" i="9"/>
  <c r="C1861" i="9"/>
  <c r="G1406" i="9"/>
  <c r="C962" i="9"/>
  <c r="C1774" i="9"/>
  <c r="C1772" i="9"/>
  <c r="C1852" i="9"/>
  <c r="C1856" i="9"/>
  <c r="F1076" i="9"/>
  <c r="C973" i="9"/>
  <c r="C971" i="9"/>
  <c r="C957" i="9"/>
  <c r="G1632" i="9"/>
  <c r="C1629" i="9"/>
  <c r="F5991" i="9" s="1"/>
  <c r="G1631" i="9"/>
  <c r="C903" i="9"/>
  <c r="C1218" i="9"/>
  <c r="C1219" i="9"/>
  <c r="C1220" i="9"/>
  <c r="C1609" i="9"/>
  <c r="C1608" i="9"/>
  <c r="G1609" i="9" s="1"/>
  <c r="C1611" i="9"/>
  <c r="C1610" i="9"/>
  <c r="G1608" i="9"/>
  <c r="G1583" i="9"/>
  <c r="C1576" i="9"/>
  <c r="G1585" i="9" s="1"/>
  <c r="G1582" i="9"/>
  <c r="C871" i="9"/>
  <c r="D5978" i="9" s="1"/>
  <c r="G1203" i="9"/>
  <c r="G1202" i="9"/>
  <c r="G1201" i="9"/>
  <c r="G1204" i="9"/>
  <c r="G1643" i="9"/>
  <c r="G1644" i="9"/>
  <c r="C1633" i="9"/>
  <c r="F5992" i="9" s="1"/>
  <c r="G1642" i="9"/>
  <c r="G1635" i="9"/>
  <c r="G1641" i="9"/>
  <c r="C1605" i="9"/>
  <c r="C1604" i="9"/>
  <c r="C1603" i="9"/>
  <c r="C1572" i="9"/>
  <c r="G1572" i="9"/>
  <c r="G1579" i="9"/>
  <c r="C1622" i="9"/>
  <c r="F5988" i="9" s="1"/>
  <c r="G1624" i="9"/>
  <c r="G1592" i="9"/>
  <c r="G1591" i="9"/>
  <c r="G1590" i="9"/>
  <c r="G1594" i="9"/>
  <c r="G1593" i="9"/>
  <c r="G1595" i="9"/>
  <c r="C912" i="9"/>
  <c r="D5990" i="9" s="1"/>
  <c r="C901" i="9"/>
  <c r="G1231" i="9"/>
  <c r="C1231" i="9"/>
  <c r="G1235" i="9" s="1"/>
  <c r="C1027" i="9"/>
  <c r="C1026" i="9"/>
  <c r="C1275" i="9"/>
  <c r="C1674" i="9"/>
  <c r="C1675" i="9"/>
  <c r="F743" i="9"/>
  <c r="C1850" i="9"/>
  <c r="C1777" i="9"/>
  <c r="C1865" i="9"/>
  <c r="C727" i="9"/>
  <c r="C1859" i="9"/>
  <c r="C1864" i="9"/>
  <c r="G914" i="9"/>
  <c r="C960" i="9"/>
  <c r="C966" i="9"/>
  <c r="F1103" i="9"/>
  <c r="G1603" i="9"/>
  <c r="G1602" i="9"/>
  <c r="C1849" i="9"/>
  <c r="C1848" i="9"/>
  <c r="C1889" i="9" s="1"/>
  <c r="C1776" i="9"/>
  <c r="C1860" i="9"/>
  <c r="C972" i="9"/>
  <c r="D6001" i="9" s="1"/>
  <c r="D5930" i="9" s="1"/>
  <c r="C1775" i="9"/>
  <c r="C1858" i="9"/>
  <c r="G1254" i="9"/>
  <c r="C1252" i="9"/>
  <c r="E5994" i="9" s="1"/>
  <c r="C652" i="9"/>
  <c r="C1048" i="9"/>
  <c r="E5954" i="9" s="1"/>
  <c r="G1226" i="9"/>
  <c r="C1226" i="9"/>
  <c r="G1228" i="9" s="1"/>
  <c r="C1621" i="9"/>
  <c r="C1620" i="9"/>
  <c r="C1619" i="9"/>
  <c r="G1618" i="9"/>
  <c r="C1618" i="9"/>
  <c r="C1773" i="9"/>
  <c r="C1857" i="9"/>
  <c r="C969" i="9"/>
  <c r="F1553" i="9"/>
  <c r="G1211" i="9"/>
  <c r="G1212" i="9"/>
  <c r="G1213" i="9"/>
  <c r="C1209" i="9"/>
  <c r="E5985" i="9" s="1"/>
  <c r="G1662" i="9"/>
  <c r="G1661" i="9"/>
  <c r="C1658" i="9"/>
  <c r="F5994" i="9" s="1"/>
  <c r="G1663" i="9"/>
  <c r="G1664" i="9"/>
  <c r="G1660" i="9"/>
  <c r="G1307" i="9"/>
  <c r="C1304" i="9"/>
  <c r="G762" i="9"/>
  <c r="C757" i="9"/>
  <c r="D5960" i="9" s="1"/>
  <c r="C1082" i="9"/>
  <c r="E5960" i="9" s="1"/>
  <c r="G1009" i="9"/>
  <c r="G733" i="9"/>
  <c r="G734" i="9"/>
  <c r="G729" i="9"/>
  <c r="G735" i="9"/>
  <c r="G730" i="9"/>
  <c r="G731" i="9"/>
  <c r="G732" i="9"/>
  <c r="G921" i="9"/>
  <c r="G916" i="9"/>
  <c r="G926" i="9"/>
  <c r="G927" i="9"/>
  <c r="G928" i="9"/>
  <c r="C1198" i="9"/>
  <c r="E5982" i="9" s="1"/>
  <c r="C885" i="9"/>
  <c r="D5982" i="9" s="1"/>
  <c r="G875" i="9"/>
  <c r="G901" i="9"/>
  <c r="C2228" i="9"/>
  <c r="C924" i="9"/>
  <c r="D5992" i="9" s="1"/>
  <c r="G876" i="9"/>
  <c r="C1153" i="9"/>
  <c r="G941" i="9"/>
  <c r="G923" i="9"/>
  <c r="G900" i="9"/>
  <c r="C917" i="9"/>
  <c r="D5991" i="9" s="1"/>
  <c r="G920" i="9"/>
  <c r="G922" i="9"/>
  <c r="G940" i="9"/>
  <c r="C2242" i="9"/>
  <c r="C2248" i="9"/>
  <c r="G890" i="9"/>
  <c r="G889" i="9"/>
  <c r="G953" i="9"/>
  <c r="G942" i="9"/>
  <c r="G891" i="9"/>
  <c r="G952" i="9"/>
  <c r="G954" i="9"/>
  <c r="C2229" i="9"/>
  <c r="C2222" i="9"/>
  <c r="G899" i="9"/>
  <c r="G1158" i="9"/>
  <c r="C2243" i="9"/>
  <c r="F2209" i="9"/>
  <c r="C2213" i="9"/>
  <c r="F2215" i="9" s="1"/>
  <c r="F2207" i="9"/>
  <c r="C2221" i="9"/>
  <c r="F2223" i="9" s="1"/>
  <c r="C2214" i="9"/>
  <c r="F2217" i="9" s="1"/>
  <c r="G877" i="9"/>
  <c r="F848" i="9"/>
  <c r="F850" i="9"/>
  <c r="F868" i="9" s="1"/>
  <c r="C2231" i="9"/>
  <c r="C2227" i="9"/>
  <c r="C2236" i="9"/>
  <c r="C2230" i="9"/>
  <c r="C2237" i="9"/>
  <c r="C2152" i="9"/>
  <c r="C2157" i="9"/>
  <c r="C2158" i="9"/>
  <c r="C2156" i="9"/>
  <c r="C2155" i="9"/>
  <c r="C2163" i="9"/>
  <c r="C2161" i="9"/>
  <c r="C2151" i="9"/>
  <c r="C2160" i="9"/>
  <c r="C2159" i="9"/>
  <c r="C2153" i="9"/>
  <c r="C2164" i="9"/>
  <c r="C2154" i="9"/>
  <c r="C2181" i="9"/>
  <c r="C2171" i="9"/>
  <c r="C2180" i="9"/>
  <c r="C2170" i="9"/>
  <c r="C2174" i="9"/>
  <c r="C2179" i="9"/>
  <c r="C2169" i="9"/>
  <c r="C2177" i="9"/>
  <c r="C2176" i="9"/>
  <c r="C2178" i="9"/>
  <c r="C2168" i="9"/>
  <c r="C2175" i="9"/>
  <c r="C2172" i="9"/>
  <c r="C2173" i="9"/>
  <c r="C53" i="9"/>
  <c r="C2166" i="9"/>
  <c r="C2165" i="9"/>
  <c r="F2143" i="9"/>
  <c r="F2141" i="9"/>
  <c r="C2109" i="9"/>
  <c r="C2094" i="9"/>
  <c r="C2095" i="9"/>
  <c r="C2100" i="9"/>
  <c r="C2108" i="9"/>
  <c r="C50" i="9"/>
  <c r="C2107" i="9"/>
  <c r="C2096" i="9"/>
  <c r="C2097" i="9"/>
  <c r="F2099" i="9" s="1"/>
  <c r="C2098" i="9"/>
  <c r="C2099" i="9"/>
  <c r="C2102" i="9"/>
  <c r="C1324" i="9"/>
  <c r="G1325" i="9" s="1"/>
  <c r="C1325" i="9"/>
  <c r="G1308" i="9"/>
  <c r="G1309" i="9"/>
  <c r="G1310" i="9"/>
  <c r="G1519" i="9"/>
  <c r="C810" i="9"/>
  <c r="G1282" i="9"/>
  <c r="C809" i="9"/>
  <c r="G1311" i="9"/>
  <c r="C1422" i="9"/>
  <c r="G1342" i="9"/>
  <c r="C1076" i="9"/>
  <c r="E5958" i="9" s="1"/>
  <c r="C5729" i="9" s="1"/>
  <c r="G745" i="9"/>
  <c r="G1312" i="9"/>
  <c r="C1507" i="9"/>
  <c r="C1406" i="9"/>
  <c r="C1407" i="9" s="1"/>
  <c r="G1410" i="9" s="1"/>
  <c r="G1446" i="9"/>
  <c r="G1445" i="9"/>
  <c r="G1523" i="9"/>
  <c r="C1437" i="9"/>
  <c r="G1448" i="9"/>
  <c r="G1449" i="9"/>
  <c r="G1447" i="9"/>
  <c r="C812" i="9"/>
  <c r="G1503" i="9"/>
  <c r="G1522" i="9"/>
  <c r="G1521" i="9"/>
  <c r="G1495" i="9"/>
  <c r="G1496" i="9"/>
  <c r="G1497" i="9"/>
  <c r="G1493" i="9"/>
  <c r="G1494" i="9"/>
  <c r="G1428" i="9"/>
  <c r="G1426" i="9"/>
  <c r="G1431" i="9"/>
  <c r="G1429" i="9"/>
  <c r="G1430" i="9"/>
  <c r="C1343" i="9"/>
  <c r="G1372" i="9" s="1"/>
  <c r="G1343" i="9"/>
  <c r="G1126" i="9"/>
  <c r="G1116" i="9"/>
  <c r="G1119" i="9"/>
  <c r="G1125" i="9"/>
  <c r="G1124" i="9"/>
  <c r="G1084" i="9"/>
  <c r="G1094" i="9"/>
  <c r="G1095" i="9"/>
  <c r="G1093" i="9"/>
  <c r="G1123" i="9"/>
  <c r="G1120" i="9"/>
  <c r="G1117" i="9"/>
  <c r="G1122" i="9"/>
  <c r="G1121" i="9"/>
  <c r="C1062" i="9"/>
  <c r="G987" i="9"/>
  <c r="G986" i="9"/>
  <c r="C40" i="9"/>
  <c r="C1984" i="9"/>
  <c r="C42" i="9"/>
  <c r="C1949" i="9"/>
  <c r="E1946" i="9" s="1"/>
  <c r="C1943" i="9"/>
  <c r="C1997" i="9" s="1"/>
  <c r="C1989" i="9"/>
  <c r="C1962" i="9"/>
  <c r="C1928" i="9"/>
  <c r="C1955" i="9" s="1"/>
  <c r="C2004" i="9"/>
  <c r="C1944" i="9"/>
  <c r="C1971" i="9" s="1"/>
  <c r="C1992" i="9"/>
  <c r="C41" i="9"/>
  <c r="C1927" i="9"/>
  <c r="C1981" i="9" s="1"/>
  <c r="C1951" i="9"/>
  <c r="C2005" i="9" s="1"/>
  <c r="C1952" i="9"/>
  <c r="C1979" i="9"/>
  <c r="C1929" i="9"/>
  <c r="C1983" i="9" s="1"/>
  <c r="C1926" i="9"/>
  <c r="C1953" i="9" s="1"/>
  <c r="C1937" i="9"/>
  <c r="C1991" i="9" s="1"/>
  <c r="C1936" i="9"/>
  <c r="C1963" i="9" s="1"/>
  <c r="G671" i="9"/>
  <c r="G670" i="9"/>
  <c r="C27" i="9"/>
  <c r="C635" i="9" s="1"/>
  <c r="C634" i="9"/>
  <c r="F2054" i="9"/>
  <c r="E2051" i="9"/>
  <c r="C1959" i="9"/>
  <c r="C1986" i="9"/>
  <c r="C1968" i="9"/>
  <c r="C1995" i="9"/>
  <c r="C1961" i="9"/>
  <c r="C1988" i="9"/>
  <c r="C1974" i="9"/>
  <c r="C2001" i="9"/>
  <c r="C1837" i="9"/>
  <c r="C1818" i="9"/>
  <c r="C1834" i="9"/>
  <c r="C1833" i="9"/>
  <c r="C1813" i="9"/>
  <c r="C1847" i="9"/>
  <c r="C1815" i="9"/>
  <c r="C1814" i="9"/>
  <c r="C1827" i="9"/>
  <c r="C34" i="9"/>
  <c r="C28" i="9" s="1"/>
  <c r="C1736" i="9" s="1"/>
  <c r="C1902" i="9" s="1"/>
  <c r="C585" i="9"/>
  <c r="C579" i="9"/>
  <c r="C587" i="9"/>
  <c r="C568" i="9"/>
  <c r="C571" i="9"/>
  <c r="C580" i="9"/>
  <c r="F582" i="9" s="1"/>
  <c r="C575" i="9"/>
  <c r="C590" i="9"/>
  <c r="C573" i="9"/>
  <c r="C569" i="9"/>
  <c r="C572" i="9"/>
  <c r="C578" i="9"/>
  <c r="C570" i="9"/>
  <c r="C584" i="9"/>
  <c r="C581" i="9"/>
  <c r="C586" i="9"/>
  <c r="F588" i="9" s="1"/>
  <c r="C442" i="9"/>
  <c r="C441" i="9"/>
  <c r="C440" i="9"/>
  <c r="C439" i="9"/>
  <c r="C438" i="9"/>
  <c r="C437" i="9"/>
  <c r="C16" i="9" s="1"/>
  <c r="C625" i="9" s="1"/>
  <c r="G677" i="9"/>
  <c r="G684" i="9"/>
  <c r="G680" i="9"/>
  <c r="G681" i="9"/>
  <c r="C467" i="9" l="1"/>
  <c r="G815" i="9"/>
  <c r="G816" i="9"/>
  <c r="G1403" i="9"/>
  <c r="G1402" i="9"/>
  <c r="G1401" i="9"/>
  <c r="G1680" i="9"/>
  <c r="G1482" i="9"/>
  <c r="C4832" i="9"/>
  <c r="C4833" i="9" s="1"/>
  <c r="C806" i="9"/>
  <c r="C4882" i="9"/>
  <c r="C4883" i="9" s="1"/>
  <c r="C3930" i="9"/>
  <c r="C3931" i="9" s="1"/>
  <c r="E5896" i="9"/>
  <c r="C4756" i="9"/>
  <c r="C4757" i="9" s="1"/>
  <c r="C4941" i="9"/>
  <c r="C4942" i="9" s="1"/>
  <c r="F4943" i="9" s="1"/>
  <c r="C4968" i="9"/>
  <c r="C4969" i="9" s="1"/>
  <c r="F4970" i="9" s="1"/>
  <c r="C3891" i="9"/>
  <c r="C3892" i="9" s="1"/>
  <c r="C4413" i="9"/>
  <c r="C4414" i="9" s="1"/>
  <c r="C4797" i="9"/>
  <c r="C4798" i="9" s="1"/>
  <c r="C1469" i="9"/>
  <c r="G1483" i="9"/>
  <c r="C773" i="9"/>
  <c r="F1288" i="9"/>
  <c r="F1295" i="9"/>
  <c r="C1267" i="9"/>
  <c r="E1432" i="9" s="1"/>
  <c r="G817" i="9"/>
  <c r="F5095" i="9"/>
  <c r="F5097" i="9"/>
  <c r="G712" i="9"/>
  <c r="G711" i="9"/>
  <c r="G710" i="9"/>
  <c r="G750" i="9"/>
  <c r="C600" i="9"/>
  <c r="F601" i="9"/>
  <c r="F5958" i="9"/>
  <c r="C5733" i="9" s="1"/>
  <c r="C5734" i="9" s="1"/>
  <c r="E5732" i="9" s="1"/>
  <c r="F1440" i="9"/>
  <c r="F1457" i="9"/>
  <c r="F1462" i="9"/>
  <c r="F4868" i="9"/>
  <c r="F4888" i="9"/>
  <c r="F4878" i="9"/>
  <c r="C3597" i="9"/>
  <c r="C3598" i="9" s="1"/>
  <c r="C5826" i="9"/>
  <c r="C5827" i="9" s="1"/>
  <c r="C3595" i="9"/>
  <c r="C3596" i="9" s="1"/>
  <c r="C5824" i="9"/>
  <c r="C3607" i="9"/>
  <c r="C3608" i="9" s="1"/>
  <c r="E3606" i="9" s="1"/>
  <c r="C5836" i="9"/>
  <c r="C5806" i="9"/>
  <c r="C5804" i="9" s="1"/>
  <c r="E5755" i="9"/>
  <c r="C5776" i="9"/>
  <c r="E5774" i="9" s="1"/>
  <c r="C5741" i="9"/>
  <c r="C5737" i="9" s="1"/>
  <c r="C5736" i="9" s="1"/>
  <c r="C219" i="9" s="1"/>
  <c r="E5770" i="9"/>
  <c r="E5749" i="9"/>
  <c r="C5766" i="9"/>
  <c r="F5746" i="9"/>
  <c r="C5730" i="9"/>
  <c r="E5728" i="9" s="1"/>
  <c r="C4495" i="9"/>
  <c r="C4496" i="9" s="1"/>
  <c r="E4494" i="9" s="1"/>
  <c r="C5712" i="9"/>
  <c r="C5713" i="9" s="1"/>
  <c r="E5711" i="9" s="1"/>
  <c r="F5577" i="9"/>
  <c r="C5682" i="9"/>
  <c r="C5683" i="9" s="1"/>
  <c r="C5697" i="9"/>
  <c r="C5674" i="9"/>
  <c r="C5675" i="9" s="1"/>
  <c r="C5666" i="9"/>
  <c r="C5667" i="9" s="1"/>
  <c r="C5691" i="9"/>
  <c r="C5692" i="9" s="1"/>
  <c r="C5602" i="9"/>
  <c r="F5603" i="9" s="1"/>
  <c r="C5592" i="9"/>
  <c r="F5593" i="9" s="1"/>
  <c r="C5652" i="9"/>
  <c r="F5653" i="9" s="1"/>
  <c r="C5609" i="9"/>
  <c r="C5610" i="9" s="1"/>
  <c r="C5611" i="9"/>
  <c r="C5612" i="9" s="1"/>
  <c r="C5595" i="9"/>
  <c r="C5596" i="9" s="1"/>
  <c r="C5585" i="9"/>
  <c r="C5586" i="9" s="1"/>
  <c r="C5315" i="9"/>
  <c r="C5316" i="9" s="1"/>
  <c r="F5317" i="9" s="1"/>
  <c r="C5583" i="9"/>
  <c r="C5584" i="9" s="1"/>
  <c r="C5543" i="9"/>
  <c r="C5544" i="9" s="1"/>
  <c r="C5578" i="9"/>
  <c r="C5532" i="9"/>
  <c r="F5533" i="9" s="1"/>
  <c r="E5561" i="9"/>
  <c r="C5551" i="9"/>
  <c r="C5547" i="9" s="1"/>
  <c r="C5221" i="9"/>
  <c r="C5222" i="9" s="1"/>
  <c r="E5220" i="9" s="1"/>
  <c r="C5535" i="9"/>
  <c r="C5536" i="9" s="1"/>
  <c r="C5509" i="9"/>
  <c r="C5486" i="9"/>
  <c r="F5487" i="9" s="1"/>
  <c r="C5441" i="9"/>
  <c r="F5442" i="9" s="1"/>
  <c r="C5345" i="9"/>
  <c r="F5346" i="9" s="1"/>
  <c r="F5396" i="9"/>
  <c r="C5411" i="9"/>
  <c r="F5412" i="9" s="1"/>
  <c r="F5383" i="9"/>
  <c r="C5374" i="9"/>
  <c r="F5375" i="9" s="1"/>
  <c r="C5366" i="9"/>
  <c r="C5341" i="9"/>
  <c r="C5353" i="9"/>
  <c r="C5337" i="9"/>
  <c r="C5143" i="9"/>
  <c r="C5144" i="9" s="1"/>
  <c r="C5317" i="9"/>
  <c r="C5153" i="9"/>
  <c r="C5154" i="9" s="1"/>
  <c r="C5321" i="9"/>
  <c r="C5322" i="9" s="1"/>
  <c r="C5225" i="9"/>
  <c r="C5226" i="9" s="1"/>
  <c r="E5224" i="9" s="1"/>
  <c r="C5325" i="9"/>
  <c r="C5326" i="9" s="1"/>
  <c r="E5324" i="9" s="1"/>
  <c r="C5234" i="9"/>
  <c r="C5235" i="9" s="1"/>
  <c r="D5907" i="9"/>
  <c r="C5285" i="9"/>
  <c r="C5286" i="9" s="1"/>
  <c r="C5284" i="9" s="1"/>
  <c r="C5085" i="9"/>
  <c r="C5260" i="9"/>
  <c r="C5097" i="9"/>
  <c r="C4604" i="9"/>
  <c r="C4605" i="9" s="1"/>
  <c r="C5217" i="9"/>
  <c r="C4610" i="9"/>
  <c r="C4611" i="9" s="1"/>
  <c r="C5208" i="9"/>
  <c r="C3750" i="9"/>
  <c r="C3751" i="9" s="1"/>
  <c r="E3749" i="9" s="1"/>
  <c r="C5204" i="9"/>
  <c r="C5142" i="9"/>
  <c r="C5186" i="9"/>
  <c r="C5187" i="9" s="1"/>
  <c r="C5185" i="9" s="1"/>
  <c r="C5181" i="9" s="1"/>
  <c r="C5178" i="9"/>
  <c r="E5176" i="9" s="1"/>
  <c r="C5140" i="9"/>
  <c r="F5108" i="9"/>
  <c r="C5081" i="9"/>
  <c r="C4988" i="9"/>
  <c r="F4989" i="9" s="1"/>
  <c r="C5002" i="9"/>
  <c r="F5003" i="9" s="1"/>
  <c r="C5014" i="9"/>
  <c r="C5015" i="9" s="1"/>
  <c r="C5083" i="9"/>
  <c r="C5084" i="9" s="1"/>
  <c r="E5088" i="9"/>
  <c r="C5043" i="9"/>
  <c r="C5044" i="9" s="1"/>
  <c r="C5066" i="9"/>
  <c r="C5067" i="9" s="1"/>
  <c r="C5047" i="9"/>
  <c r="C5048" i="9" s="1"/>
  <c r="C3964" i="9"/>
  <c r="C131" i="9" s="1"/>
  <c r="C3976" i="9"/>
  <c r="D5876" i="9"/>
  <c r="C5012" i="9"/>
  <c r="C3980" i="9"/>
  <c r="C3972" i="9"/>
  <c r="C3977" i="9"/>
  <c r="C3966" i="9"/>
  <c r="C3967" i="9" s="1"/>
  <c r="C3968" i="9" s="1"/>
  <c r="C5031" i="9"/>
  <c r="C4135" i="9"/>
  <c r="C4136" i="9" s="1"/>
  <c r="C4134" i="9" s="1"/>
  <c r="C5016" i="9"/>
  <c r="C5017" i="9" s="1"/>
  <c r="C4143" i="9"/>
  <c r="C4144" i="9" s="1"/>
  <c r="E4142" i="9" s="1"/>
  <c r="C4139" i="9"/>
  <c r="C4140" i="9" s="1"/>
  <c r="E4138" i="9" s="1"/>
  <c r="C5024" i="9"/>
  <c r="C4998" i="9"/>
  <c r="C4962" i="9"/>
  <c r="C4991" i="9"/>
  <c r="C4943" i="9"/>
  <c r="C4970" i="9"/>
  <c r="D5900" i="9"/>
  <c r="C4935" i="9"/>
  <c r="C4853" i="9"/>
  <c r="C4854" i="9" s="1"/>
  <c r="C4905" i="9"/>
  <c r="C4780" i="9"/>
  <c r="F4781" i="9" s="1"/>
  <c r="C4792" i="9"/>
  <c r="F4793" i="9" s="1"/>
  <c r="C4804" i="9"/>
  <c r="F4805" i="9" s="1"/>
  <c r="C4787" i="9"/>
  <c r="C4788" i="9" s="1"/>
  <c r="C4420" i="9"/>
  <c r="F4421" i="9" s="1"/>
  <c r="C4763" i="9"/>
  <c r="C4408" i="9"/>
  <c r="F4409" i="9" s="1"/>
  <c r="C4717" i="9"/>
  <c r="C4718" i="9" s="1"/>
  <c r="C4746" i="9"/>
  <c r="C4747" i="9" s="1"/>
  <c r="C4739" i="9"/>
  <c r="F4740" i="9" s="1"/>
  <c r="C4751" i="9"/>
  <c r="F4752" i="9" s="1"/>
  <c r="C4396" i="9"/>
  <c r="F4397" i="9" s="1"/>
  <c r="C4695" i="9"/>
  <c r="F4696" i="9" s="1"/>
  <c r="C4681" i="9"/>
  <c r="C4682" i="9" s="1"/>
  <c r="E4680" i="9" s="1"/>
  <c r="C4685" i="9"/>
  <c r="C4686" i="9" s="1"/>
  <c r="E4684" i="9" s="1"/>
  <c r="C4660" i="9"/>
  <c r="C4661" i="9" s="1"/>
  <c r="C4677" i="9"/>
  <c r="C4627" i="9"/>
  <c r="C4628" i="9" s="1"/>
  <c r="C4639" i="9"/>
  <c r="C4640" i="9" s="1"/>
  <c r="C4664" i="9"/>
  <c r="C4651" i="9"/>
  <c r="C4652" i="9" s="1"/>
  <c r="C4668" i="9"/>
  <c r="F4645" i="9"/>
  <c r="F4621" i="9"/>
  <c r="F4476" i="9"/>
  <c r="C4458" i="9"/>
  <c r="C4459" i="9" s="1"/>
  <c r="C4436" i="9"/>
  <c r="C4437" i="9" s="1"/>
  <c r="C4440" i="9"/>
  <c r="C4441" i="9" s="1"/>
  <c r="C4438" i="9"/>
  <c r="C4439" i="9" s="1"/>
  <c r="F4474" i="9"/>
  <c r="C4456" i="9"/>
  <c r="C4457" i="9" s="1"/>
  <c r="C4547" i="9"/>
  <c r="C4593" i="9"/>
  <c r="C4535" i="9"/>
  <c r="C4581" i="9"/>
  <c r="C4541" i="9"/>
  <c r="C4587" i="9"/>
  <c r="C4450" i="9"/>
  <c r="C4451" i="9" s="1"/>
  <c r="D5911" i="9"/>
  <c r="C4510" i="9"/>
  <c r="E5911" i="9"/>
  <c r="C4518" i="9"/>
  <c r="F5911" i="9"/>
  <c r="C4524" i="9"/>
  <c r="F4478" i="9"/>
  <c r="F4480" i="9"/>
  <c r="C3746" i="9"/>
  <c r="C3747" i="9" s="1"/>
  <c r="C3745" i="9" s="1"/>
  <c r="C4448" i="9"/>
  <c r="C4449" i="9" s="1"/>
  <c r="C3754" i="9"/>
  <c r="C3755" i="9" s="1"/>
  <c r="E3753" i="9" s="1"/>
  <c r="C4480" i="9"/>
  <c r="C4454" i="9"/>
  <c r="C4382" i="9"/>
  <c r="C4383" i="9" s="1"/>
  <c r="D5908" i="9"/>
  <c r="C4403" i="9"/>
  <c r="C4404" i="9" s="1"/>
  <c r="C4307" i="9"/>
  <c r="C4308" i="9" s="1"/>
  <c r="C4293" i="9"/>
  <c r="C4277" i="9"/>
  <c r="C4332" i="9"/>
  <c r="E5914" i="9"/>
  <c r="C4338" i="9"/>
  <c r="C4339" i="9" s="1"/>
  <c r="E5887" i="9"/>
  <c r="C4291" i="9"/>
  <c r="C4292" i="9" s="1"/>
  <c r="E5885" i="9"/>
  <c r="C4287" i="9"/>
  <c r="C4288" i="9" s="1"/>
  <c r="C3807" i="9"/>
  <c r="C3808" i="9" s="1"/>
  <c r="E3806" i="9" s="1"/>
  <c r="C4285" i="9"/>
  <c r="E5886" i="9"/>
  <c r="C4289" i="9"/>
  <c r="C4290" i="9" s="1"/>
  <c r="D5885" i="9"/>
  <c r="C4269" i="9"/>
  <c r="C4270" i="9" s="1"/>
  <c r="D5886" i="9"/>
  <c r="C4271" i="9"/>
  <c r="C4272" i="9" s="1"/>
  <c r="C4310" i="9"/>
  <c r="C4254" i="9"/>
  <c r="C4255" i="9" s="1"/>
  <c r="E4253" i="9" s="1"/>
  <c r="C4250" i="9"/>
  <c r="E5889" i="9"/>
  <c r="C4237" i="9"/>
  <c r="C4238" i="9" s="1"/>
  <c r="E4236" i="9" s="1"/>
  <c r="D5889" i="9"/>
  <c r="C4233" i="9"/>
  <c r="C4234" i="9" s="1"/>
  <c r="C4232" i="9" s="1"/>
  <c r="D5931" i="9"/>
  <c r="C4214" i="9"/>
  <c r="C4215" i="9" s="1"/>
  <c r="F5888" i="9"/>
  <c r="C4222" i="9"/>
  <c r="F5931" i="9"/>
  <c r="C4224" i="9"/>
  <c r="C4225" i="9" s="1"/>
  <c r="C4213" i="9"/>
  <c r="F4214" i="9" s="1"/>
  <c r="C4080" i="9"/>
  <c r="C4081" i="9" s="1"/>
  <c r="C4077" i="9" s="1"/>
  <c r="C3995" i="9"/>
  <c r="C3996" i="9" s="1"/>
  <c r="E3994" i="9" s="1"/>
  <c r="C4109" i="9"/>
  <c r="C3987" i="9"/>
  <c r="C3988" i="9" s="1"/>
  <c r="C3986" i="9" s="1"/>
  <c r="C4101" i="9"/>
  <c r="C3991" i="9"/>
  <c r="C3992" i="9" s="1"/>
  <c r="E3990" i="9" s="1"/>
  <c r="C4105" i="9"/>
  <c r="C4068" i="9"/>
  <c r="C4023" i="9"/>
  <c r="C4061" i="9"/>
  <c r="C3720" i="9"/>
  <c r="C3721" i="9" s="1"/>
  <c r="C4050" i="9"/>
  <c r="C3712" i="9"/>
  <c r="C3713" i="9" s="1"/>
  <c r="C3711" i="9" s="1"/>
  <c r="C4042" i="9"/>
  <c r="C4047" i="9"/>
  <c r="E4045" i="9" s="1"/>
  <c r="F3914" i="9"/>
  <c r="C3999" i="9"/>
  <c r="C3998" i="9" s="1"/>
  <c r="C133" i="9" s="1"/>
  <c r="C3881" i="9"/>
  <c r="C3882" i="9" s="1"/>
  <c r="C3920" i="9"/>
  <c r="C3921" i="9" s="1"/>
  <c r="C3896" i="9"/>
  <c r="F3897" i="9" s="1"/>
  <c r="C3886" i="9"/>
  <c r="F3887" i="9" s="1"/>
  <c r="C3874" i="9"/>
  <c r="F3875" i="9" s="1"/>
  <c r="C3863" i="9"/>
  <c r="E3861" i="9" s="1"/>
  <c r="C3855" i="9"/>
  <c r="C3853" i="9" s="1"/>
  <c r="E5921" i="9"/>
  <c r="C3733" i="9"/>
  <c r="C3734" i="9" s="1"/>
  <c r="E3732" i="9" s="1"/>
  <c r="D5921" i="9"/>
  <c r="C3729" i="9"/>
  <c r="C3730" i="9" s="1"/>
  <c r="C3728" i="9" s="1"/>
  <c r="F5921" i="9"/>
  <c r="C3737" i="9"/>
  <c r="C3664" i="9"/>
  <c r="C3665" i="9" s="1"/>
  <c r="C3695" i="9"/>
  <c r="C3696" i="9" s="1"/>
  <c r="C3651" i="9"/>
  <c r="C3652" i="9" s="1"/>
  <c r="C3641" i="9"/>
  <c r="C3642" i="9" s="1"/>
  <c r="C3647" i="9"/>
  <c r="C3648" i="9" s="1"/>
  <c r="E3621" i="9"/>
  <c r="C3630" i="9"/>
  <c r="C3631" i="9" s="1"/>
  <c r="C3618" i="9"/>
  <c r="C3619" i="9" s="1"/>
  <c r="C3615" i="9" s="1"/>
  <c r="C3537" i="9"/>
  <c r="C3538" i="9" s="1"/>
  <c r="F5920" i="9"/>
  <c r="C3586" i="9"/>
  <c r="C3587" i="9" s="1"/>
  <c r="E3585" i="9" s="1"/>
  <c r="D5920" i="9"/>
  <c r="C3576" i="9"/>
  <c r="C3577" i="9" s="1"/>
  <c r="D5919" i="9"/>
  <c r="C3574" i="9"/>
  <c r="C3548" i="9"/>
  <c r="F3549" i="9" s="1"/>
  <c r="C3470" i="9"/>
  <c r="C3471" i="9" s="1"/>
  <c r="C3549" i="9"/>
  <c r="C3550" i="9" s="1"/>
  <c r="C3482" i="9"/>
  <c r="C3483" i="9" s="1"/>
  <c r="F3486" i="9" s="1"/>
  <c r="C3559" i="9"/>
  <c r="C3486" i="9"/>
  <c r="C3487" i="9" s="1"/>
  <c r="C3561" i="9"/>
  <c r="C3562" i="9" s="1"/>
  <c r="C3448" i="9"/>
  <c r="C3449" i="9" s="1"/>
  <c r="C3535" i="9"/>
  <c r="C3452" i="9"/>
  <c r="C3453" i="9" s="1"/>
  <c r="F3482" i="9"/>
  <c r="F3462" i="9"/>
  <c r="D5922" i="9"/>
  <c r="C3450" i="9"/>
  <c r="C3451" i="9" s="1"/>
  <c r="C3445" i="9"/>
  <c r="F3446" i="9" s="1"/>
  <c r="F5923" i="9"/>
  <c r="C3435" i="9"/>
  <c r="C3436" i="9" s="1"/>
  <c r="E5923" i="9"/>
  <c r="C3427" i="9"/>
  <c r="C3428" i="9" s="1"/>
  <c r="D5923" i="9"/>
  <c r="C3417" i="9"/>
  <c r="C3418" i="9" s="1"/>
  <c r="C3426" i="9"/>
  <c r="F3427" i="9" s="1"/>
  <c r="E3399" i="9"/>
  <c r="C3404" i="9"/>
  <c r="C3405" i="9" s="1"/>
  <c r="E3403" i="9" s="1"/>
  <c r="C3433" i="9"/>
  <c r="C3396" i="9"/>
  <c r="C3397" i="9" s="1"/>
  <c r="C3395" i="9" s="1"/>
  <c r="C3415" i="9"/>
  <c r="C3384" i="9"/>
  <c r="F5917" i="9"/>
  <c r="C3387" i="9"/>
  <c r="D5917" i="9"/>
  <c r="C3377" i="9"/>
  <c r="C3358" i="9"/>
  <c r="E5883" i="9"/>
  <c r="C2631" i="9"/>
  <c r="C2632" i="9" s="1"/>
  <c r="F2633" i="9" s="1"/>
  <c r="C2588" i="9"/>
  <c r="C2589" i="9" s="1"/>
  <c r="C2577" i="9"/>
  <c r="C2607" i="9"/>
  <c r="C2591" i="9"/>
  <c r="C3250" i="9"/>
  <c r="C3298" i="9"/>
  <c r="C3299" i="9" s="1"/>
  <c r="C3270" i="9"/>
  <c r="C3271" i="9" s="1"/>
  <c r="C3316" i="9"/>
  <c r="C3317" i="9" s="1"/>
  <c r="C3260" i="9"/>
  <c r="C3261" i="9" s="1"/>
  <c r="C3309" i="9"/>
  <c r="C3252" i="9"/>
  <c r="C3253" i="9" s="1"/>
  <c r="C3279" i="9"/>
  <c r="C3221" i="9"/>
  <c r="C3222" i="9" s="1"/>
  <c r="C3166" i="9"/>
  <c r="C3167" i="9" s="1"/>
  <c r="C3223" i="9"/>
  <c r="C3224" i="9" s="1"/>
  <c r="C3168" i="9"/>
  <c r="C3169" i="9" s="1"/>
  <c r="C3186" i="9"/>
  <c r="C3187" i="9" s="1"/>
  <c r="C3229" i="9"/>
  <c r="C3230" i="9" s="1"/>
  <c r="C3210" i="9"/>
  <c r="C3211" i="9" s="1"/>
  <c r="C3170" i="9"/>
  <c r="C3171" i="9" s="1"/>
  <c r="C3164" i="9"/>
  <c r="C3165" i="9" s="1"/>
  <c r="C3122" i="9"/>
  <c r="C3123" i="9" s="1"/>
  <c r="E3121" i="9" s="1"/>
  <c r="C3143" i="9"/>
  <c r="C3144" i="9" s="1"/>
  <c r="C3116" i="9"/>
  <c r="C3117" i="9" s="1"/>
  <c r="C3115" i="9" s="1"/>
  <c r="C3133" i="9"/>
  <c r="C3134" i="9" s="1"/>
  <c r="C3034" i="9"/>
  <c r="C3035" i="9" s="1"/>
  <c r="C3018" i="9"/>
  <c r="C3019" i="9" s="1"/>
  <c r="C3054" i="9"/>
  <c r="C3055" i="9" s="1"/>
  <c r="C3020" i="9"/>
  <c r="C3021" i="9" s="1"/>
  <c r="C3014" i="9"/>
  <c r="C3015" i="9" s="1"/>
  <c r="C3016" i="9"/>
  <c r="C3017" i="9" s="1"/>
  <c r="C2538" i="9"/>
  <c r="C3007" i="9"/>
  <c r="C3043" i="9"/>
  <c r="C2560" i="9"/>
  <c r="F2561" i="9" s="1"/>
  <c r="C3027" i="9"/>
  <c r="C2548" i="9"/>
  <c r="C2944" i="9"/>
  <c r="C2945" i="9" s="1"/>
  <c r="C2921" i="9"/>
  <c r="C2922" i="9" s="1"/>
  <c r="C2954" i="9"/>
  <c r="C2955" i="9" s="1"/>
  <c r="C2913" i="9"/>
  <c r="C2914" i="9" s="1"/>
  <c r="C2946" i="9"/>
  <c r="C2947" i="9" s="1"/>
  <c r="C2911" i="9"/>
  <c r="C2912" i="9" s="1"/>
  <c r="C2885" i="9"/>
  <c r="C2926" i="9"/>
  <c r="F2909" i="9"/>
  <c r="C2908" i="9"/>
  <c r="C2918" i="9"/>
  <c r="F2919" i="9" s="1"/>
  <c r="C2859" i="9"/>
  <c r="C2860" i="9" s="1"/>
  <c r="C2804" i="9"/>
  <c r="C2805" i="9" s="1"/>
  <c r="F2831" i="9"/>
  <c r="C2830" i="9"/>
  <c r="C2848" i="9"/>
  <c r="G1552" i="9"/>
  <c r="C2841" i="9"/>
  <c r="C2842" i="9" s="1"/>
  <c r="C2788" i="9"/>
  <c r="C2789" i="9" s="1"/>
  <c r="C2798" i="9"/>
  <c r="C2799" i="9" s="1"/>
  <c r="C2851" i="9"/>
  <c r="C2852" i="9" s="1"/>
  <c r="C2790" i="9"/>
  <c r="C2791" i="9" s="1"/>
  <c r="C2843" i="9"/>
  <c r="C2844" i="9" s="1"/>
  <c r="C2864" i="9"/>
  <c r="G1679" i="9"/>
  <c r="G1678" i="9"/>
  <c r="G1681" i="9"/>
  <c r="C1305" i="9"/>
  <c r="F5947" i="9"/>
  <c r="C5159" i="9" s="1"/>
  <c r="F970" i="9"/>
  <c r="D5998" i="9"/>
  <c r="C4920" i="9" s="1"/>
  <c r="C4921" i="9" s="1"/>
  <c r="F1130" i="9"/>
  <c r="E5965" i="9"/>
  <c r="F1676" i="9"/>
  <c r="F6001" i="9"/>
  <c r="F5930" i="9" s="1"/>
  <c r="C2738" i="9"/>
  <c r="F2739" i="9" s="1"/>
  <c r="F5940" i="9"/>
  <c r="F2778" i="9"/>
  <c r="C2777" i="9"/>
  <c r="C2750" i="9"/>
  <c r="C2809" i="9"/>
  <c r="F2810" i="9" s="1"/>
  <c r="C2795" i="9"/>
  <c r="C2760" i="9"/>
  <c r="F2761" i="9" s="1"/>
  <c r="C2349" i="9"/>
  <c r="C2350" i="9" s="1"/>
  <c r="E5955" i="9"/>
  <c r="C2357" i="9"/>
  <c r="C2358" i="9" s="1"/>
  <c r="F5955" i="9"/>
  <c r="C2433" i="9"/>
  <c r="C2434" i="9" s="1"/>
  <c r="E5974" i="9"/>
  <c r="C2343" i="9"/>
  <c r="C2344" i="9" s="1"/>
  <c r="D5955" i="9"/>
  <c r="C648" i="9"/>
  <c r="E736" i="9" s="1"/>
  <c r="D5940" i="9"/>
  <c r="C4118" i="9" s="1"/>
  <c r="C2651" i="9"/>
  <c r="F2652" i="9" s="1"/>
  <c r="C2626" i="9"/>
  <c r="C2634" i="9"/>
  <c r="G1216" i="9"/>
  <c r="C743" i="9"/>
  <c r="G749" i="9"/>
  <c r="G748" i="9"/>
  <c r="G746" i="9"/>
  <c r="G706" i="9"/>
  <c r="G701" i="9"/>
  <c r="G695" i="9"/>
  <c r="G690" i="9"/>
  <c r="G707" i="9"/>
  <c r="G702" i="9"/>
  <c r="G694" i="9"/>
  <c r="G689" i="9"/>
  <c r="G705" i="9"/>
  <c r="G700" i="9"/>
  <c r="G693" i="9"/>
  <c r="G688" i="9"/>
  <c r="G704" i="9"/>
  <c r="G699" i="9"/>
  <c r="G692" i="9"/>
  <c r="G687" i="9"/>
  <c r="G696" i="9"/>
  <c r="G698" i="9"/>
  <c r="G703" i="9"/>
  <c r="G686" i="9"/>
  <c r="G691" i="9"/>
  <c r="G697" i="9"/>
  <c r="E2492" i="9"/>
  <c r="C2486" i="9"/>
  <c r="C71" i="9" s="1"/>
  <c r="C2488" i="9"/>
  <c r="C2489" i="9" s="1"/>
  <c r="C2490" i="9" s="1"/>
  <c r="C2496" i="9"/>
  <c r="C2495" i="9"/>
  <c r="C2492" i="9"/>
  <c r="C2491" i="9"/>
  <c r="C2501" i="9"/>
  <c r="C2479" i="9"/>
  <c r="C2301" i="9"/>
  <c r="C2302" i="9" s="1"/>
  <c r="E2451" i="9"/>
  <c r="C2456" i="9"/>
  <c r="C2442" i="9"/>
  <c r="C68" i="9" s="1"/>
  <c r="C2450" i="9"/>
  <c r="C2451" i="9"/>
  <c r="C2454" i="9"/>
  <c r="C2455" i="9"/>
  <c r="C2444" i="9"/>
  <c r="C2445" i="9" s="1"/>
  <c r="C2446" i="9" s="1"/>
  <c r="F2427" i="9"/>
  <c r="C2426" i="9"/>
  <c r="C2424" i="9" s="1"/>
  <c r="C2374" i="9"/>
  <c r="C2375" i="9" s="1"/>
  <c r="C1570" i="9"/>
  <c r="C2268" i="9"/>
  <c r="F1143" i="9"/>
  <c r="F1159" i="9"/>
  <c r="C2305" i="9"/>
  <c r="C2306" i="9" s="1"/>
  <c r="C2265" i="9"/>
  <c r="C2275" i="9"/>
  <c r="C2280" i="9"/>
  <c r="C2267" i="9"/>
  <c r="C2281" i="9"/>
  <c r="C2266" i="9"/>
  <c r="C2274" i="9"/>
  <c r="C60" i="9"/>
  <c r="F1145" i="9"/>
  <c r="F1147" i="9"/>
  <c r="F1113" i="9"/>
  <c r="F1136" i="9"/>
  <c r="F1139" i="9"/>
  <c r="C1007" i="9"/>
  <c r="C1894" i="9"/>
  <c r="C1229" i="9"/>
  <c r="E5991" i="9" s="1"/>
  <c r="F972" i="9"/>
  <c r="C1883" i="9"/>
  <c r="C1896" i="9"/>
  <c r="C1890" i="9"/>
  <c r="C1880" i="9"/>
  <c r="C1900" i="9"/>
  <c r="C1874" i="9"/>
  <c r="C1897" i="9"/>
  <c r="G903" i="9"/>
  <c r="F974" i="9"/>
  <c r="G902" i="9"/>
  <c r="C1600" i="9"/>
  <c r="F5985" i="9" s="1"/>
  <c r="G1610" i="9"/>
  <c r="F1096" i="9"/>
  <c r="G1584" i="9"/>
  <c r="C1606" i="9"/>
  <c r="F5986" i="9" s="1"/>
  <c r="F5915" i="9" s="1"/>
  <c r="C1867" i="9"/>
  <c r="G1613" i="9"/>
  <c r="C1868" i="9"/>
  <c r="C896" i="9"/>
  <c r="G1620" i="9"/>
  <c r="G1605" i="9"/>
  <c r="G1586" i="9"/>
  <c r="C1614" i="9"/>
  <c r="F5987" i="9" s="1"/>
  <c r="F5916" i="9" s="1"/>
  <c r="C1879" i="9"/>
  <c r="C1893" i="9"/>
  <c r="C1888" i="9"/>
  <c r="C1869" i="9"/>
  <c r="C1876" i="9"/>
  <c r="C1871" i="9"/>
  <c r="C1886" i="9"/>
  <c r="C1224" i="9"/>
  <c r="E5990" i="9" s="1"/>
  <c r="G1612" i="9"/>
  <c r="C1873" i="9"/>
  <c r="C1885" i="9"/>
  <c r="G1621" i="9"/>
  <c r="C1866" i="9"/>
  <c r="C1891" i="9"/>
  <c r="C1899" i="9"/>
  <c r="C1872" i="9"/>
  <c r="C1882" i="9"/>
  <c r="C1898" i="9"/>
  <c r="C1878" i="9"/>
  <c r="C1892" i="9"/>
  <c r="C1887" i="9"/>
  <c r="F1217" i="9"/>
  <c r="F1214" i="9"/>
  <c r="F1207" i="9"/>
  <c r="F1221" i="9"/>
  <c r="F1205" i="9"/>
  <c r="F1209" i="9"/>
  <c r="F1224" i="9"/>
  <c r="C682" i="9"/>
  <c r="G1604" i="9"/>
  <c r="G1574" i="9"/>
  <c r="G1573" i="9"/>
  <c r="G1233" i="9"/>
  <c r="G1232" i="9"/>
  <c r="C1338" i="9"/>
  <c r="G1576" i="9"/>
  <c r="G1611" i="9"/>
  <c r="F1080" i="9"/>
  <c r="C1404" i="9"/>
  <c r="F5954" i="9" s="1"/>
  <c r="G1619" i="9"/>
  <c r="G1575" i="9"/>
  <c r="F896" i="9"/>
  <c r="F894" i="9"/>
  <c r="F885" i="9"/>
  <c r="F882" i="9"/>
  <c r="F892" i="9"/>
  <c r="G1220" i="9"/>
  <c r="G1219" i="9"/>
  <c r="F1082" i="9"/>
  <c r="C1322" i="9"/>
  <c r="F1091" i="9"/>
  <c r="G1227" i="9"/>
  <c r="C1877" i="9"/>
  <c r="C1881" i="9"/>
  <c r="C1895" i="9"/>
  <c r="C1901" i="9"/>
  <c r="C1432" i="9"/>
  <c r="C1875" i="9"/>
  <c r="C1870" i="9"/>
  <c r="C1884" i="9"/>
  <c r="G1234" i="9"/>
  <c r="F1315" i="9"/>
  <c r="F1313" i="9"/>
  <c r="F1322" i="9"/>
  <c r="F1318" i="9"/>
  <c r="C713" i="9"/>
  <c r="G1065" i="9"/>
  <c r="G1066" i="9"/>
  <c r="G1067" i="9"/>
  <c r="G1068" i="9"/>
  <c r="G1069" i="9"/>
  <c r="G1070" i="9"/>
  <c r="G1064" i="9"/>
  <c r="C47" i="9"/>
  <c r="C2062" i="9" s="1"/>
  <c r="C2197" i="9" s="1"/>
  <c r="E2220" i="9"/>
  <c r="G1329" i="9"/>
  <c r="G1334" i="9"/>
  <c r="G1330" i="9"/>
  <c r="G1333" i="9"/>
  <c r="G1326" i="9"/>
  <c r="G1328" i="9"/>
  <c r="G1327" i="9"/>
  <c r="G1331" i="9"/>
  <c r="G1332" i="9"/>
  <c r="G1078" i="9"/>
  <c r="G1079" i="9"/>
  <c r="G1407" i="9"/>
  <c r="C1504" i="9"/>
  <c r="C1503" i="9"/>
  <c r="G1398" i="9"/>
  <c r="G1355" i="9"/>
  <c r="G1351" i="9"/>
  <c r="G1390" i="9"/>
  <c r="G1386" i="9"/>
  <c r="G1397" i="9"/>
  <c r="G1360" i="9"/>
  <c r="G1391" i="9"/>
  <c r="G1359" i="9"/>
  <c r="G1387" i="9"/>
  <c r="G1379" i="9"/>
  <c r="G1384" i="9"/>
  <c r="G1345" i="9"/>
  <c r="G1349" i="9"/>
  <c r="G1353" i="9"/>
  <c r="G1357" i="9"/>
  <c r="G1356" i="9"/>
  <c r="G1370" i="9"/>
  <c r="G1382" i="9"/>
  <c r="G1375" i="9"/>
  <c r="G1393" i="9"/>
  <c r="G1347" i="9"/>
  <c r="G1346" i="9"/>
  <c r="G1399" i="9"/>
  <c r="G1380" i="9"/>
  <c r="G1389" i="9"/>
  <c r="G1385" i="9"/>
  <c r="G1365" i="9"/>
  <c r="G1378" i="9"/>
  <c r="G1373" i="9"/>
  <c r="G1377" i="9"/>
  <c r="G1352" i="9"/>
  <c r="G1392" i="9"/>
  <c r="G1358" i="9"/>
  <c r="G1400" i="9"/>
  <c r="G1369" i="9"/>
  <c r="G1383" i="9"/>
  <c r="G1388" i="9"/>
  <c r="G1394" i="9"/>
  <c r="G1348" i="9"/>
  <c r="G1371" i="9"/>
  <c r="G1376" i="9"/>
  <c r="G1362" i="9"/>
  <c r="G1354" i="9"/>
  <c r="G1381" i="9"/>
  <c r="G1368" i="9"/>
  <c r="G1361" i="9"/>
  <c r="G1396" i="9"/>
  <c r="G1344" i="9"/>
  <c r="G1367" i="9"/>
  <c r="G1374" i="9"/>
  <c r="G1364" i="9"/>
  <c r="G1363" i="9"/>
  <c r="G1350" i="9"/>
  <c r="G1395" i="9"/>
  <c r="G1366" i="9"/>
  <c r="G1421" i="9"/>
  <c r="G1411" i="9"/>
  <c r="G1420" i="9"/>
  <c r="G1414" i="9"/>
  <c r="G1419" i="9"/>
  <c r="G1415" i="9"/>
  <c r="G1408" i="9"/>
  <c r="G1409" i="9"/>
  <c r="G1412" i="9"/>
  <c r="G1416" i="9"/>
  <c r="G1418" i="9"/>
  <c r="G1417" i="9"/>
  <c r="G1423" i="9"/>
  <c r="G1422" i="9"/>
  <c r="G1413" i="9"/>
  <c r="G709" i="9"/>
  <c r="C1978" i="9"/>
  <c r="G715" i="9"/>
  <c r="G1010" i="9"/>
  <c r="G1035" i="9"/>
  <c r="G1014" i="9"/>
  <c r="G1038" i="9"/>
  <c r="G1042" i="9"/>
  <c r="G1047" i="9"/>
  <c r="G1025" i="9"/>
  <c r="G1029" i="9"/>
  <c r="G1043" i="9"/>
  <c r="G1030" i="9"/>
  <c r="G1015" i="9"/>
  <c r="G1039" i="9"/>
  <c r="G1031" i="9"/>
  <c r="G1037" i="9"/>
  <c r="G1023" i="9"/>
  <c r="G1013" i="9"/>
  <c r="G1045" i="9"/>
  <c r="G1033" i="9"/>
  <c r="G1028" i="9"/>
  <c r="G1018" i="9"/>
  <c r="G1046" i="9"/>
  <c r="G1019" i="9"/>
  <c r="G1044" i="9"/>
  <c r="G1041" i="9"/>
  <c r="G1011" i="9"/>
  <c r="G1040" i="9"/>
  <c r="G1022" i="9"/>
  <c r="G1032" i="9"/>
  <c r="G1012" i="9"/>
  <c r="G1024" i="9"/>
  <c r="G1017" i="9"/>
  <c r="G1016" i="9"/>
  <c r="G1020" i="9"/>
  <c r="G1034" i="9"/>
  <c r="G1021" i="9"/>
  <c r="G1036" i="9"/>
  <c r="G1026" i="9"/>
  <c r="G1027" i="9"/>
  <c r="G1050" i="9"/>
  <c r="G1052" i="9"/>
  <c r="G1060" i="9"/>
  <c r="G1051" i="9"/>
  <c r="G1056" i="9"/>
  <c r="G1058" i="9"/>
  <c r="G1057" i="9"/>
  <c r="G1059" i="9"/>
  <c r="G1055" i="9"/>
  <c r="G1061" i="9"/>
  <c r="G1054" i="9"/>
  <c r="G1053" i="9"/>
  <c r="C1976" i="9"/>
  <c r="E1973" i="9" s="1"/>
  <c r="C38" i="9"/>
  <c r="C1903" i="9" s="1"/>
  <c r="C2006" i="9" s="1"/>
  <c r="C1970" i="9"/>
  <c r="C2003" i="9"/>
  <c r="E2000" i="9" s="1"/>
  <c r="C1998" i="9"/>
  <c r="C1945" i="9"/>
  <c r="C1999" i="9" s="1"/>
  <c r="C1954" i="9"/>
  <c r="C1982" i="9"/>
  <c r="C1946" i="9"/>
  <c r="C2000" i="9" s="1"/>
  <c r="C1964" i="9"/>
  <c r="C1956" i="9"/>
  <c r="C1980" i="9"/>
  <c r="C1990" i="9"/>
  <c r="G1504" i="9" l="1"/>
  <c r="C1501" i="9"/>
  <c r="F5967" i="9" s="1"/>
  <c r="C4499" i="9"/>
  <c r="C4500" i="9" s="1"/>
  <c r="E4498" i="9" s="1"/>
  <c r="C4386" i="9"/>
  <c r="C4387" i="9" s="1"/>
  <c r="C4305" i="9"/>
  <c r="C4306" i="9" s="1"/>
  <c r="C5716" i="9"/>
  <c r="C5717" i="9" s="1"/>
  <c r="E5715" i="9" s="1"/>
  <c r="F5887" i="9"/>
  <c r="C3594" i="9"/>
  <c r="F3597" i="9"/>
  <c r="C3601" i="9"/>
  <c r="C3602" i="9" s="1"/>
  <c r="C5830" i="9"/>
  <c r="C5837" i="9"/>
  <c r="E5835" i="9" s="1"/>
  <c r="C5825" i="9"/>
  <c r="F5826" i="9" s="1"/>
  <c r="C3603" i="9"/>
  <c r="C3604" i="9" s="1"/>
  <c r="C5832" i="9"/>
  <c r="C5833" i="9" s="1"/>
  <c r="C5783" i="9"/>
  <c r="C5762" i="9"/>
  <c r="C5760" i="9"/>
  <c r="C5755" i="9"/>
  <c r="C5754" i="9"/>
  <c r="C5738" i="9"/>
  <c r="C5739" i="9" s="1"/>
  <c r="C5740" i="9" s="1"/>
  <c r="C5748" i="9"/>
  <c r="C5749" i="9"/>
  <c r="C5698" i="9"/>
  <c r="E5696" i="9" s="1"/>
  <c r="C5690" i="9"/>
  <c r="C5645" i="9"/>
  <c r="C5646" i="9" s="1"/>
  <c r="E5642" i="9" s="1"/>
  <c r="C5672" i="9"/>
  <c r="C5653" i="9"/>
  <c r="C5654" i="9" s="1"/>
  <c r="C5680" i="9"/>
  <c r="C5639" i="9"/>
  <c r="C5640" i="9" s="1"/>
  <c r="C5664" i="9"/>
  <c r="F5581" i="9"/>
  <c r="F5579" i="9"/>
  <c r="C5527" i="9"/>
  <c r="C5528" i="9" s="1"/>
  <c r="C5524" i="9" s="1"/>
  <c r="C5581" i="9"/>
  <c r="C5582" i="9" s="1"/>
  <c r="C5541" i="9"/>
  <c r="C5542" i="9" s="1"/>
  <c r="C5607" i="9"/>
  <c r="C5608" i="9" s="1"/>
  <c r="C5533" i="9"/>
  <c r="C5534" i="9" s="1"/>
  <c r="E5530" i="9" s="1"/>
  <c r="C5593" i="9"/>
  <c r="C5566" i="9"/>
  <c r="C5546" i="9"/>
  <c r="C210" i="9" s="1"/>
  <c r="C5560" i="9"/>
  <c r="C5561" i="9"/>
  <c r="C5548" i="9"/>
  <c r="C5549" i="9" s="1"/>
  <c r="C5550" i="9" s="1"/>
  <c r="C5556" i="9"/>
  <c r="C5557" i="9"/>
  <c r="C5487" i="9"/>
  <c r="C5499" i="9"/>
  <c r="C5500" i="9" s="1"/>
  <c r="C5491" i="9"/>
  <c r="C5492" i="9" s="1"/>
  <c r="C5476" i="9"/>
  <c r="C5477" i="9" s="1"/>
  <c r="E5475" i="9" s="1"/>
  <c r="C5495" i="9"/>
  <c r="C4124" i="9"/>
  <c r="C4125" i="9" s="1"/>
  <c r="E4123" i="9" s="1"/>
  <c r="C5464" i="9"/>
  <c r="C5423" i="9"/>
  <c r="C5424" i="9" s="1"/>
  <c r="C5431" i="9"/>
  <c r="C5432" i="9" s="1"/>
  <c r="C5427" i="9"/>
  <c r="C5428" i="9" s="1"/>
  <c r="C5377" i="9"/>
  <c r="C5378" i="9" s="1"/>
  <c r="C5406" i="9"/>
  <c r="C5407" i="9" s="1"/>
  <c r="C5383" i="9"/>
  <c r="C5412" i="9"/>
  <c r="C5375" i="9"/>
  <c r="C5404" i="9"/>
  <c r="F5367" i="9"/>
  <c r="C5367" i="9"/>
  <c r="C5368" i="9" s="1"/>
  <c r="C5396" i="9"/>
  <c r="C5338" i="9"/>
  <c r="C5151" i="9"/>
  <c r="C5152" i="9" s="1"/>
  <c r="C5348" i="9"/>
  <c r="F5884" i="9"/>
  <c r="C5354" i="9"/>
  <c r="E5884" i="9"/>
  <c r="C5346" i="9"/>
  <c r="F5354" i="9"/>
  <c r="F5338" i="9"/>
  <c r="E5320" i="9"/>
  <c r="C5318" i="9"/>
  <c r="C5314" i="9" s="1"/>
  <c r="C5310" i="9" s="1"/>
  <c r="C5309" i="9" s="1"/>
  <c r="E4609" i="9"/>
  <c r="E5258" i="9"/>
  <c r="C5250" i="9"/>
  <c r="C5246" i="9" s="1"/>
  <c r="C5245" i="9" s="1"/>
  <c r="C193" i="9" s="1"/>
  <c r="E5237" i="9"/>
  <c r="C5218" i="9"/>
  <c r="C5216" i="9" s="1"/>
  <c r="C5212" i="9" s="1"/>
  <c r="C5205" i="9"/>
  <c r="E5203" i="9" s="1"/>
  <c r="C5209" i="9"/>
  <c r="E5207" i="9" s="1"/>
  <c r="C5138" i="9"/>
  <c r="C5169" i="9"/>
  <c r="C5176" i="9" s="1"/>
  <c r="C5191" i="9"/>
  <c r="C5180" i="9"/>
  <c r="C188" i="9" s="1"/>
  <c r="C5182" i="9"/>
  <c r="C5183" i="9" s="1"/>
  <c r="C5184" i="9" s="1"/>
  <c r="C5194" i="9"/>
  <c r="C5190" i="9"/>
  <c r="C5189" i="9"/>
  <c r="C5188" i="9"/>
  <c r="F5143" i="9"/>
  <c r="F5145" i="9"/>
  <c r="F5141" i="9"/>
  <c r="C5160" i="9"/>
  <c r="F5161" i="9" s="1"/>
  <c r="F4991" i="9"/>
  <c r="C5082" i="9"/>
  <c r="F5083" i="9" s="1"/>
  <c r="E4994" i="9"/>
  <c r="C5113" i="9"/>
  <c r="C5098" i="9"/>
  <c r="E5092" i="9" s="1"/>
  <c r="F5049" i="9"/>
  <c r="E5046" i="9"/>
  <c r="C5053" i="9"/>
  <c r="C4963" i="9"/>
  <c r="F5876" i="9"/>
  <c r="C5028" i="9"/>
  <c r="C5013" i="9"/>
  <c r="F5014" i="9" s="1"/>
  <c r="C5025" i="9"/>
  <c r="E5000" i="9"/>
  <c r="C4992" i="9"/>
  <c r="C4936" i="9"/>
  <c r="C4951" i="9"/>
  <c r="C4978" i="9"/>
  <c r="C4971" i="9"/>
  <c r="E4967" i="9" s="1"/>
  <c r="C4944" i="9"/>
  <c r="C4878" i="9"/>
  <c r="C4879" i="9" s="1"/>
  <c r="C4919" i="9"/>
  <c r="C4915" i="9" s="1"/>
  <c r="E4852" i="9"/>
  <c r="C4857" i="9"/>
  <c r="C4858" i="9" s="1"/>
  <c r="C4909" i="9"/>
  <c r="C4906" i="9"/>
  <c r="E4904" i="9" s="1"/>
  <c r="C4793" i="9"/>
  <c r="F4764" i="9"/>
  <c r="C4633" i="9"/>
  <c r="C4634" i="9" s="1"/>
  <c r="F4635" i="9" s="1"/>
  <c r="C4752" i="9"/>
  <c r="C4542" i="9"/>
  <c r="E4540" i="9" s="1"/>
  <c r="C4536" i="9"/>
  <c r="F4537" i="9" s="1"/>
  <c r="C4548" i="9"/>
  <c r="E4546" i="9" s="1"/>
  <c r="C4693" i="9"/>
  <c r="C4701" i="9"/>
  <c r="C4678" i="9"/>
  <c r="C4676" i="9" s="1"/>
  <c r="C4672" i="9" s="1"/>
  <c r="C4671" i="9" s="1"/>
  <c r="C166" i="9" s="1"/>
  <c r="C4669" i="9"/>
  <c r="E4667" i="9" s="1"/>
  <c r="C4665" i="9"/>
  <c r="E4663" i="9" s="1"/>
  <c r="C4659" i="9"/>
  <c r="C4603" i="9"/>
  <c r="C4599" i="9" s="1"/>
  <c r="C4598" i="9" s="1"/>
  <c r="C163" i="9" s="1"/>
  <c r="C4588" i="9"/>
  <c r="E4586" i="9" s="1"/>
  <c r="C4582" i="9"/>
  <c r="F4583" i="9" s="1"/>
  <c r="C4594" i="9"/>
  <c r="F4595" i="9" s="1"/>
  <c r="C4409" i="9"/>
  <c r="C4514" i="9"/>
  <c r="C4515" i="9" s="1"/>
  <c r="C4525" i="9"/>
  <c r="E4523" i="9" s="1"/>
  <c r="C4519" i="9"/>
  <c r="F4520" i="9" s="1"/>
  <c r="C4511" i="9"/>
  <c r="F4512" i="9" s="1"/>
  <c r="C4435" i="9"/>
  <c r="C4481" i="9"/>
  <c r="C4167" i="9"/>
  <c r="C4168" i="9" s="1"/>
  <c r="C4161" i="9" s="1"/>
  <c r="C4160" i="9" s="1"/>
  <c r="C143" i="9" s="1"/>
  <c r="C4464" i="9"/>
  <c r="C4465" i="9" s="1"/>
  <c r="C4455" i="9"/>
  <c r="F4460" i="9" s="1"/>
  <c r="F4440" i="9"/>
  <c r="F4446" i="9"/>
  <c r="F4450" i="9"/>
  <c r="F4444" i="9"/>
  <c r="F4438" i="9"/>
  <c r="F4448" i="9"/>
  <c r="F4442" i="9"/>
  <c r="C4286" i="9"/>
  <c r="E4381" i="9"/>
  <c r="E4362" i="9"/>
  <c r="C4342" i="9"/>
  <c r="C4333" i="9"/>
  <c r="F4334" i="9" s="1"/>
  <c r="F5914" i="9"/>
  <c r="C4346" i="9"/>
  <c r="C4347" i="9" s="1"/>
  <c r="C3926" i="9"/>
  <c r="C3927" i="9" s="1"/>
  <c r="E3923" i="9" s="1"/>
  <c r="C3811" i="9"/>
  <c r="C3812" i="9" s="1"/>
  <c r="E3810" i="9" s="1"/>
  <c r="C4301" i="9"/>
  <c r="C4278" i="9"/>
  <c r="C4294" i="9"/>
  <c r="C4251" i="9"/>
  <c r="C4249" i="9" s="1"/>
  <c r="C4245" i="9" s="1"/>
  <c r="C4228" i="9"/>
  <c r="C4235" i="9" s="1"/>
  <c r="C4211" i="9"/>
  <c r="C4223" i="9"/>
  <c r="D5927" i="9"/>
  <c r="C4199" i="9"/>
  <c r="C4181" i="9"/>
  <c r="C4084" i="9"/>
  <c r="C4085" i="9" s="1"/>
  <c r="C4073" i="9" s="1"/>
  <c r="C4153" i="9"/>
  <c r="C4130" i="9"/>
  <c r="C4129" i="9" s="1"/>
  <c r="C141" i="9" s="1"/>
  <c r="C4119" i="9"/>
  <c r="C4117" i="9" s="1"/>
  <c r="C4106" i="9"/>
  <c r="E4104" i="9" s="1"/>
  <c r="C4102" i="9"/>
  <c r="C4100" i="9" s="1"/>
  <c r="C4110" i="9"/>
  <c r="E4108" i="9" s="1"/>
  <c r="C4024" i="9"/>
  <c r="C4020" i="9" s="1"/>
  <c r="C4016" i="9" s="1"/>
  <c r="C4035" i="9" s="1"/>
  <c r="F4069" i="9"/>
  <c r="E4066" i="9"/>
  <c r="C4062" i="9"/>
  <c r="C4058" i="9" s="1"/>
  <c r="C4054" i="9" s="1"/>
  <c r="C4053" i="9" s="1"/>
  <c r="C136" i="9" s="1"/>
  <c r="C4007" i="9"/>
  <c r="C3707" i="9"/>
  <c r="C3722" i="9" s="1"/>
  <c r="C4043" i="9"/>
  <c r="C4041" i="9" s="1"/>
  <c r="C4051" i="9"/>
  <c r="E4049" i="9" s="1"/>
  <c r="C4006" i="9"/>
  <c r="C4010" i="9"/>
  <c r="C4000" i="9"/>
  <c r="C4001" i="9" s="1"/>
  <c r="C4002" i="9" s="1"/>
  <c r="C4011" i="9"/>
  <c r="C4014" i="9"/>
  <c r="C3982" i="9"/>
  <c r="C3997" i="9" s="1"/>
  <c r="E3958" i="9"/>
  <c r="C3950" i="9"/>
  <c r="C3946" i="9" s="1"/>
  <c r="C3945" i="9" s="1"/>
  <c r="C129" i="9" s="1"/>
  <c r="E5894" i="9"/>
  <c r="C3887" i="9"/>
  <c r="C3849" i="9"/>
  <c r="C3848" i="9" s="1"/>
  <c r="C125" i="9" s="1"/>
  <c r="C3741" i="9"/>
  <c r="C3740" i="9" s="1"/>
  <c r="C119" i="9" s="1"/>
  <c r="E3719" i="9"/>
  <c r="C3738" i="9"/>
  <c r="E3736" i="9" s="1"/>
  <c r="E3702" i="9"/>
  <c r="C3694" i="9"/>
  <c r="C3690" i="9" s="1"/>
  <c r="C3689" i="9" s="1"/>
  <c r="C116" i="9" s="1"/>
  <c r="F5869" i="9"/>
  <c r="C3680" i="9"/>
  <c r="D5869" i="9"/>
  <c r="C3662" i="9"/>
  <c r="E3644" i="9"/>
  <c r="E3671" i="9"/>
  <c r="E3629" i="9"/>
  <c r="C3638" i="9"/>
  <c r="C3634" i="9" s="1"/>
  <c r="C3633" i="9" s="1"/>
  <c r="C113" i="9" s="1"/>
  <c r="E3650" i="9"/>
  <c r="C3611" i="9"/>
  <c r="C3610" i="9" s="1"/>
  <c r="C112" i="9" s="1"/>
  <c r="E5919" i="9"/>
  <c r="C3580" i="9"/>
  <c r="C3575" i="9"/>
  <c r="F3576" i="9" s="1"/>
  <c r="E5920" i="9"/>
  <c r="C3582" i="9"/>
  <c r="C3583" i="9" s="1"/>
  <c r="F3551" i="9"/>
  <c r="F3553" i="9"/>
  <c r="C3536" i="9"/>
  <c r="F3539" i="9" s="1"/>
  <c r="E3544" i="9"/>
  <c r="C3560" i="9"/>
  <c r="F3565" i="9" s="1"/>
  <c r="E3477" i="9"/>
  <c r="F3448" i="9"/>
  <c r="F3488" i="9"/>
  <c r="F3490" i="9"/>
  <c r="F3484" i="9"/>
  <c r="C3443" i="9"/>
  <c r="E5903" i="9"/>
  <c r="C3462" i="9"/>
  <c r="F3454" i="9"/>
  <c r="F3452" i="9"/>
  <c r="F3450" i="9"/>
  <c r="F3456" i="9"/>
  <c r="E3420" i="9"/>
  <c r="C3416" i="9"/>
  <c r="F3417" i="9" s="1"/>
  <c r="C3391" i="9"/>
  <c r="C3390" i="9" s="1"/>
  <c r="C104" i="9" s="1"/>
  <c r="C3434" i="9"/>
  <c r="E3430" i="9" s="1"/>
  <c r="C3378" i="9"/>
  <c r="C3388" i="9"/>
  <c r="E3386" i="9" s="1"/>
  <c r="C3329" i="9"/>
  <c r="C3330" i="9" s="1"/>
  <c r="D5884" i="9"/>
  <c r="C3366" i="9"/>
  <c r="C3367" i="9" s="1"/>
  <c r="E3365" i="9" s="1"/>
  <c r="F5883" i="9"/>
  <c r="C3359" i="9"/>
  <c r="E3357" i="9" s="1"/>
  <c r="E2630" i="9"/>
  <c r="C2637" i="9"/>
  <c r="C2604" i="9"/>
  <c r="C2605" i="9" s="1"/>
  <c r="C2687" i="9"/>
  <c r="C2688" i="9" s="1"/>
  <c r="C2592" i="9"/>
  <c r="C2693" i="9"/>
  <c r="C2694" i="9" s="1"/>
  <c r="C2598" i="9"/>
  <c r="C2599" i="9" s="1"/>
  <c r="C3306" i="9"/>
  <c r="C3307" i="9" s="1"/>
  <c r="C3269" i="9"/>
  <c r="C3341" i="9"/>
  <c r="C3342" i="9" s="1"/>
  <c r="C3259" i="9"/>
  <c r="C3311" i="9" s="1"/>
  <c r="C3335" i="9"/>
  <c r="C3336" i="9" s="1"/>
  <c r="C3263" i="9"/>
  <c r="C3280" i="9"/>
  <c r="C3278" i="9" s="1"/>
  <c r="C3274" i="9" s="1"/>
  <c r="C3273" i="9" s="1"/>
  <c r="C3154" i="9"/>
  <c r="C3155" i="9" s="1"/>
  <c r="C3235" i="9"/>
  <c r="C3236" i="9" s="1"/>
  <c r="C3188" i="9"/>
  <c r="C3184" i="9"/>
  <c r="C3185" i="9" s="1"/>
  <c r="C3206" i="9"/>
  <c r="C3207" i="9" s="1"/>
  <c r="C3180" i="9"/>
  <c r="C3181" i="9" s="1"/>
  <c r="C3196" i="9"/>
  <c r="C3197" i="9" s="1"/>
  <c r="C3208" i="9"/>
  <c r="C3209" i="9" s="1"/>
  <c r="C3237" i="9"/>
  <c r="C3238" i="9" s="1"/>
  <c r="C3190" i="9"/>
  <c r="C3191" i="9" s="1"/>
  <c r="C2952" i="9"/>
  <c r="C2953" i="9" s="1"/>
  <c r="C3176" i="9"/>
  <c r="C3177" i="9" s="1"/>
  <c r="C2942" i="9"/>
  <c r="C2943" i="9" s="1"/>
  <c r="C3050" i="9"/>
  <c r="C3051" i="9" s="1"/>
  <c r="C3052" i="9"/>
  <c r="C3053" i="9" s="1"/>
  <c r="F2539" i="9"/>
  <c r="F2549" i="9"/>
  <c r="C2549" i="9"/>
  <c r="C3028" i="9"/>
  <c r="C2960" i="9"/>
  <c r="C2961" i="9" s="1"/>
  <c r="C2931" i="9"/>
  <c r="C2932" i="9" s="1"/>
  <c r="C2964" i="9"/>
  <c r="C2965" i="9" s="1"/>
  <c r="C2929" i="9"/>
  <c r="C2930" i="9" s="1"/>
  <c r="C2962" i="9"/>
  <c r="C2963" i="9" s="1"/>
  <c r="F2927" i="9"/>
  <c r="E654" i="9"/>
  <c r="E1534" i="9"/>
  <c r="E1297" i="9"/>
  <c r="F2865" i="9"/>
  <c r="F2849" i="9"/>
  <c r="F2435" i="9"/>
  <c r="C2800" i="9"/>
  <c r="C2801" i="9" s="1"/>
  <c r="C2853" i="9"/>
  <c r="C2854" i="9" s="1"/>
  <c r="C2820" i="9"/>
  <c r="C2821" i="9" s="1"/>
  <c r="C2875" i="9"/>
  <c r="C2876" i="9" s="1"/>
  <c r="F2796" i="9"/>
  <c r="C2835" i="9"/>
  <c r="C2836" i="9" s="1"/>
  <c r="C2782" i="9"/>
  <c r="C2783" i="9" s="1"/>
  <c r="C2867" i="9"/>
  <c r="C2868" i="9" s="1"/>
  <c r="C2812" i="9"/>
  <c r="C2813" i="9" s="1"/>
  <c r="C2818" i="9"/>
  <c r="C2819" i="9" s="1"/>
  <c r="C2873" i="9"/>
  <c r="C2874" i="9" s="1"/>
  <c r="C2869" i="9"/>
  <c r="C2870" i="9" s="1"/>
  <c r="C2814" i="9"/>
  <c r="C2815" i="9" s="1"/>
  <c r="C2524" i="9"/>
  <c r="C2525" i="9" s="1"/>
  <c r="F5953" i="9"/>
  <c r="C5126" i="9" s="1"/>
  <c r="C2741" i="9"/>
  <c r="C2742" i="9" s="1"/>
  <c r="F2751" i="9"/>
  <c r="F1484" i="9"/>
  <c r="F5965" i="9"/>
  <c r="C2763" i="9"/>
  <c r="C2764" i="9" s="1"/>
  <c r="C2518" i="9"/>
  <c r="C2519" i="9" s="1"/>
  <c r="F2520" i="9" s="1"/>
  <c r="E5953" i="9"/>
  <c r="C5116" i="9" s="1"/>
  <c r="C2753" i="9"/>
  <c r="C2754" i="9" s="1"/>
  <c r="F1338" i="9"/>
  <c r="F5951" i="9"/>
  <c r="F1577" i="9"/>
  <c r="F5978" i="9"/>
  <c r="F943" i="9"/>
  <c r="D5985" i="9"/>
  <c r="C2510" i="9"/>
  <c r="F2514" i="9" s="1"/>
  <c r="D5953" i="9"/>
  <c r="C2475" i="9"/>
  <c r="C2476" i="9" s="1"/>
  <c r="C2474" i="9" s="1"/>
  <c r="D5954" i="9"/>
  <c r="F751" i="9"/>
  <c r="D5958" i="9"/>
  <c r="C5725" i="9" s="1"/>
  <c r="C2767" i="9"/>
  <c r="C2768" i="9" s="1"/>
  <c r="C2662" i="9"/>
  <c r="C2663" i="9" s="1"/>
  <c r="C2765" i="9"/>
  <c r="C2660" i="9"/>
  <c r="C2661" i="9" s="1"/>
  <c r="F2662" i="9" s="1"/>
  <c r="C2526" i="9"/>
  <c r="F2526" i="9" s="1"/>
  <c r="C2528" i="9"/>
  <c r="C2529" i="9" s="1"/>
  <c r="C2649" i="9"/>
  <c r="C2639" i="9"/>
  <c r="C2640" i="9" s="1"/>
  <c r="C2641" i="9"/>
  <c r="C2642" i="9" s="1"/>
  <c r="F757" i="9"/>
  <c r="F765" i="9"/>
  <c r="C736" i="9"/>
  <c r="E839" i="9" s="1"/>
  <c r="F763" i="9"/>
  <c r="C2420" i="9"/>
  <c r="C2429" i="9" s="1"/>
  <c r="C2483" i="9"/>
  <c r="C2311" i="9"/>
  <c r="C2312" i="9" s="1"/>
  <c r="C2480" i="9"/>
  <c r="E2478" i="9" s="1"/>
  <c r="C2408" i="9"/>
  <c r="C2409" i="9" s="1"/>
  <c r="C2407" i="9" s="1"/>
  <c r="C2391" i="9"/>
  <c r="C2720" i="9" s="1"/>
  <c r="C2721" i="9" s="1"/>
  <c r="C2719" i="9" s="1"/>
  <c r="C2416" i="9"/>
  <c r="C2417" i="9" s="1"/>
  <c r="E2415" i="9" s="1"/>
  <c r="C2399" i="9"/>
  <c r="C2412" i="9"/>
  <c r="C2413" i="9" s="1"/>
  <c r="E2411" i="9" s="1"/>
  <c r="C2395" i="9"/>
  <c r="C2724" i="9" s="1"/>
  <c r="C2366" i="9"/>
  <c r="C2372" i="9"/>
  <c r="C2380" i="9"/>
  <c r="C2293" i="9"/>
  <c r="C2294" i="9" s="1"/>
  <c r="C2368" i="9"/>
  <c r="C2369" i="9" s="1"/>
  <c r="C2382" i="9"/>
  <c r="C2383" i="9" s="1"/>
  <c r="C2341" i="9"/>
  <c r="F2343" i="9" s="1"/>
  <c r="C2347" i="9"/>
  <c r="F2349" i="9" s="1"/>
  <c r="C2355" i="9"/>
  <c r="C2356" i="9" s="1"/>
  <c r="F1580" i="9"/>
  <c r="C2291" i="9"/>
  <c r="C2324" i="9"/>
  <c r="C2309" i="9"/>
  <c r="C2310" i="9" s="1"/>
  <c r="C2332" i="9"/>
  <c r="C2299" i="9"/>
  <c r="C2300" i="9" s="1"/>
  <c r="E2298" i="9" s="1"/>
  <c r="C2328" i="9"/>
  <c r="F1600" i="9"/>
  <c r="F1596" i="9"/>
  <c r="F1587" i="9"/>
  <c r="F1606" i="9"/>
  <c r="F1501" i="9"/>
  <c r="F1335" i="9"/>
  <c r="F1259" i="9"/>
  <c r="F917" i="9"/>
  <c r="F950" i="9"/>
  <c r="F912" i="9"/>
  <c r="F908" i="9"/>
  <c r="F904" i="9"/>
  <c r="F1658" i="9"/>
  <c r="F1614" i="9"/>
  <c r="F1252" i="9"/>
  <c r="F947" i="9"/>
  <c r="F924" i="9"/>
  <c r="F906" i="9"/>
  <c r="F929" i="9"/>
  <c r="F1665" i="9"/>
  <c r="F910" i="9"/>
  <c r="F1625" i="9"/>
  <c r="F1668" i="9"/>
  <c r="F1256" i="9"/>
  <c r="F1633" i="9"/>
  <c r="F1229" i="9"/>
  <c r="F1629" i="9"/>
  <c r="F1240" i="9"/>
  <c r="F1622" i="9"/>
  <c r="F1645" i="9"/>
  <c r="F1236" i="9"/>
  <c r="E1465" i="9"/>
  <c r="E1673" i="9"/>
  <c r="E1569" i="9"/>
  <c r="F713" i="9"/>
  <c r="F727" i="9"/>
  <c r="F1404" i="9"/>
  <c r="F1424" i="9"/>
  <c r="G1508" i="9"/>
  <c r="G1506" i="9"/>
  <c r="G1507" i="9"/>
  <c r="G1509" i="9"/>
  <c r="G1505" i="9"/>
  <c r="C1972" i="9"/>
  <c r="C1973" i="9"/>
  <c r="F1510" i="9" l="1"/>
  <c r="F1527" i="9"/>
  <c r="F1514" i="9"/>
  <c r="F1516" i="9"/>
  <c r="C4768" i="9"/>
  <c r="C4769" i="9" s="1"/>
  <c r="C4947" i="9"/>
  <c r="C4344" i="9"/>
  <c r="C4345" i="9" s="1"/>
  <c r="C4892" i="9"/>
  <c r="C4893" i="9" s="1"/>
  <c r="C3940" i="9"/>
  <c r="C3941" i="9" s="1"/>
  <c r="C5055" i="9"/>
  <c r="C5056" i="9" s="1"/>
  <c r="C4840" i="9"/>
  <c r="C4841" i="9" s="1"/>
  <c r="C3901" i="9"/>
  <c r="C3902" i="9" s="1"/>
  <c r="C4974" i="9"/>
  <c r="C4809" i="9"/>
  <c r="C4810" i="9" s="1"/>
  <c r="C4425" i="9"/>
  <c r="C4426" i="9" s="1"/>
  <c r="F5896" i="9"/>
  <c r="E4385" i="9"/>
  <c r="F4882" i="9"/>
  <c r="F4880" i="9"/>
  <c r="C3590" i="9"/>
  <c r="C3589" i="9" s="1"/>
  <c r="C111" i="9" s="1"/>
  <c r="F3603" i="9"/>
  <c r="C5823" i="9"/>
  <c r="C5831" i="9"/>
  <c r="F5832" i="9" s="1"/>
  <c r="C5794" i="9"/>
  <c r="C5795" i="9" s="1"/>
  <c r="E5791" i="9" s="1"/>
  <c r="C5813" i="9"/>
  <c r="C5777" i="9"/>
  <c r="C5761" i="9"/>
  <c r="C220" i="9" s="1"/>
  <c r="C5773" i="9"/>
  <c r="C5774" i="9"/>
  <c r="C5763" i="9"/>
  <c r="C5764" i="9" s="1"/>
  <c r="C5765" i="9" s="1"/>
  <c r="C5769" i="9"/>
  <c r="C5770" i="9"/>
  <c r="C5726" i="9"/>
  <c r="C5724" i="9" s="1"/>
  <c r="C5720" i="9" s="1"/>
  <c r="C5719" i="9" s="1"/>
  <c r="C218" i="9" s="1"/>
  <c r="C4491" i="9"/>
  <c r="C4492" i="9" s="1"/>
  <c r="C4490" i="9" s="1"/>
  <c r="C4486" i="9" s="1"/>
  <c r="C4485" i="9" s="1"/>
  <c r="C157" i="9" s="1"/>
  <c r="C5708" i="9"/>
  <c r="C5709" i="9" s="1"/>
  <c r="C5707" i="9" s="1"/>
  <c r="C5703" i="9" s="1"/>
  <c r="C5686" i="9"/>
  <c r="C5685" i="9" s="1"/>
  <c r="C215" i="9" s="1"/>
  <c r="C5572" i="9"/>
  <c r="C5681" i="9"/>
  <c r="F5682" i="9" s="1"/>
  <c r="C5634" i="9"/>
  <c r="C5630" i="9" s="1"/>
  <c r="C5629" i="9" s="1"/>
  <c r="C213" i="9" s="1"/>
  <c r="C5665" i="9"/>
  <c r="C5661" i="9" s="1"/>
  <c r="C5673" i="9"/>
  <c r="E5669" i="9" s="1"/>
  <c r="E5648" i="9"/>
  <c r="F5585" i="9"/>
  <c r="F5583" i="9"/>
  <c r="C5594" i="9"/>
  <c r="E5588" i="9" s="1"/>
  <c r="C5539" i="9"/>
  <c r="C5540" i="9" s="1"/>
  <c r="E5538" i="9" s="1"/>
  <c r="C5603" i="9"/>
  <c r="F5535" i="9"/>
  <c r="E5490" i="9"/>
  <c r="C5496" i="9"/>
  <c r="C5513" i="9"/>
  <c r="E5511" i="9" s="1"/>
  <c r="C5497" i="9"/>
  <c r="C5498" i="9" s="1"/>
  <c r="C5516" i="9"/>
  <c r="C5507" i="9"/>
  <c r="C5488" i="9"/>
  <c r="C5484" i="9" s="1"/>
  <c r="C5468" i="9"/>
  <c r="C5467" i="9" s="1"/>
  <c r="C206" i="9" s="1"/>
  <c r="C5465" i="9"/>
  <c r="C5456" i="9" s="1"/>
  <c r="F5880" i="9"/>
  <c r="C5450" i="9"/>
  <c r="C5422" i="9"/>
  <c r="C5418" i="9" s="1"/>
  <c r="E5430" i="9"/>
  <c r="E5426" i="9"/>
  <c r="E5445" i="9"/>
  <c r="C5439" i="9"/>
  <c r="F5369" i="9"/>
  <c r="C5413" i="9"/>
  <c r="E5409" i="9" s="1"/>
  <c r="C5397" i="9"/>
  <c r="C5393" i="9" s="1"/>
  <c r="C5405" i="9"/>
  <c r="E5401" i="9" s="1"/>
  <c r="C5376" i="9"/>
  <c r="E5372" i="9" s="1"/>
  <c r="C5384" i="9"/>
  <c r="E5380" i="9" s="1"/>
  <c r="C5364" i="9"/>
  <c r="C5355" i="9"/>
  <c r="F5356" i="9" s="1"/>
  <c r="C5339" i="9"/>
  <c r="C5347" i="9"/>
  <c r="C5108" i="9"/>
  <c r="C5109" i="9" s="1"/>
  <c r="F5112" i="9" s="1"/>
  <c r="C5357" i="9"/>
  <c r="C5327" i="9"/>
  <c r="C5324" i="9"/>
  <c r="C5311" i="9"/>
  <c r="C5312" i="9" s="1"/>
  <c r="C5313" i="9" s="1"/>
  <c r="C5323" i="9"/>
  <c r="C5320" i="9"/>
  <c r="C5319" i="9"/>
  <c r="F5907" i="9"/>
  <c r="C5291" i="9"/>
  <c r="C5261" i="9"/>
  <c r="C5254" i="9"/>
  <c r="C5253" i="9"/>
  <c r="C5258" i="9"/>
  <c r="C5257" i="9"/>
  <c r="C5247" i="9"/>
  <c r="C5248" i="9" s="1"/>
  <c r="C5249" i="9" s="1"/>
  <c r="E5241" i="9"/>
  <c r="C5211" i="9"/>
  <c r="C191" i="9" s="1"/>
  <c r="C5227" i="9"/>
  <c r="C5213" i="9"/>
  <c r="C5214" i="9" s="1"/>
  <c r="C5215" i="9" s="1"/>
  <c r="C5224" i="9"/>
  <c r="C5223" i="9"/>
  <c r="C5220" i="9"/>
  <c r="C5219" i="9"/>
  <c r="C5198" i="9"/>
  <c r="C5207" i="9" s="1"/>
  <c r="C5170" i="9"/>
  <c r="C5171" i="9" s="1"/>
  <c r="C5172" i="9" s="1"/>
  <c r="C5175" i="9"/>
  <c r="C5174" i="9"/>
  <c r="C5168" i="9"/>
  <c r="C187" i="9" s="1"/>
  <c r="C5173" i="9"/>
  <c r="C5179" i="9"/>
  <c r="F5163" i="9"/>
  <c r="E5158" i="9"/>
  <c r="C5029" i="9"/>
  <c r="F5030" i="9" s="1"/>
  <c r="C5127" i="9"/>
  <c r="E5123" i="9" s="1"/>
  <c r="C5117" i="9"/>
  <c r="E5115" i="9" s="1"/>
  <c r="F5085" i="9"/>
  <c r="C5086" i="9"/>
  <c r="C5080" i="9" s="1"/>
  <c r="C5076" i="9" s="1"/>
  <c r="C5075" i="9" s="1"/>
  <c r="C183" i="9" s="1"/>
  <c r="C5054" i="9"/>
  <c r="C5039" i="9"/>
  <c r="C5040" i="9" s="1"/>
  <c r="E5071" i="9"/>
  <c r="C5011" i="9"/>
  <c r="F5016" i="9"/>
  <c r="C4986" i="9"/>
  <c r="C4982" i="9" s="1"/>
  <c r="C4981" i="9" s="1"/>
  <c r="C179" i="9" s="1"/>
  <c r="C4979" i="9"/>
  <c r="C4937" i="9"/>
  <c r="C4964" i="9"/>
  <c r="E4875" i="9"/>
  <c r="C4952" i="9"/>
  <c r="C4888" i="9"/>
  <c r="C4889" i="9" s="1"/>
  <c r="E4940" i="9"/>
  <c r="C4923" i="9"/>
  <c r="C4914" i="9"/>
  <c r="C176" i="9" s="1"/>
  <c r="C4922" i="9"/>
  <c r="C4926" i="9"/>
  <c r="C4924" i="9"/>
  <c r="C4925" i="9"/>
  <c r="C4916" i="9"/>
  <c r="C4917" i="9" s="1"/>
  <c r="C4918" i="9" s="1"/>
  <c r="E4856" i="9"/>
  <c r="C4849" i="9"/>
  <c r="C4850" i="9" s="1"/>
  <c r="C4901" i="9"/>
  <c r="C4910" i="9"/>
  <c r="E4908" i="9" s="1"/>
  <c r="C4794" i="9"/>
  <c r="F4799" i="9" s="1"/>
  <c r="C4343" i="9"/>
  <c r="F4344" i="9" s="1"/>
  <c r="C4727" i="9"/>
  <c r="C4728" i="9" s="1"/>
  <c r="F4729" i="9" s="1"/>
  <c r="C4836" i="9"/>
  <c r="C4721" i="9"/>
  <c r="C4722" i="9" s="1"/>
  <c r="C4828" i="9"/>
  <c r="F4543" i="9"/>
  <c r="C4715" i="9"/>
  <c r="C4716" i="9" s="1"/>
  <c r="C4820" i="9"/>
  <c r="C4805" i="9"/>
  <c r="C4410" i="9"/>
  <c r="E4406" i="9" s="1"/>
  <c r="C4645" i="9"/>
  <c r="C4646" i="9" s="1"/>
  <c r="F4647" i="9" s="1"/>
  <c r="C4764" i="9"/>
  <c r="C4753" i="9"/>
  <c r="F4549" i="9"/>
  <c r="C4689" i="9"/>
  <c r="C4688" i="9" s="1"/>
  <c r="C167" i="9" s="1"/>
  <c r="E4699" i="9"/>
  <c r="F4702" i="9"/>
  <c r="E4705" i="9"/>
  <c r="C4687" i="9"/>
  <c r="C4684" i="9"/>
  <c r="C4673" i="9"/>
  <c r="C4674" i="9" s="1"/>
  <c r="C4675" i="9" s="1"/>
  <c r="C4683" i="9"/>
  <c r="C4680" i="9"/>
  <c r="C4679" i="9"/>
  <c r="F4637" i="9"/>
  <c r="F4639" i="9"/>
  <c r="C4655" i="9"/>
  <c r="C4654" i="9" s="1"/>
  <c r="C165" i="9" s="1"/>
  <c r="E4630" i="9"/>
  <c r="C4580" i="9"/>
  <c r="C4576" i="9" s="1"/>
  <c r="C4575" i="9" s="1"/>
  <c r="C162" i="9" s="1"/>
  <c r="F4589" i="9"/>
  <c r="E4592" i="9"/>
  <c r="E4469" i="9"/>
  <c r="C4612" i="9"/>
  <c r="C4600" i="9"/>
  <c r="C4601" i="9" s="1"/>
  <c r="C4602" i="9" s="1"/>
  <c r="C4608" i="9"/>
  <c r="C4607" i="9"/>
  <c r="C4609" i="9"/>
  <c r="C4606" i="9"/>
  <c r="E4284" i="9"/>
  <c r="C4421" i="9"/>
  <c r="E4563" i="9"/>
  <c r="F4526" i="9"/>
  <c r="E4517" i="9"/>
  <c r="C4534" i="9"/>
  <c r="C4530" i="9" s="1"/>
  <c r="C4529" i="9" s="1"/>
  <c r="C160" i="9" s="1"/>
  <c r="F4514" i="9"/>
  <c r="C4509" i="9"/>
  <c r="C4505" i="9" s="1"/>
  <c r="C4504" i="9" s="1"/>
  <c r="C159" i="9" s="1"/>
  <c r="C4431" i="9"/>
  <c r="C4430" i="9" s="1"/>
  <c r="C156" i="9" s="1"/>
  <c r="F4482" i="9"/>
  <c r="F4466" i="9"/>
  <c r="F4462" i="9"/>
  <c r="F4458" i="9"/>
  <c r="F4464" i="9"/>
  <c r="E4453" i="9"/>
  <c r="F4456" i="9"/>
  <c r="C4378" i="9"/>
  <c r="C4379" i="9" s="1"/>
  <c r="C4377" i="9" s="1"/>
  <c r="C4373" i="9" s="1"/>
  <c r="C4372" i="9" s="1"/>
  <c r="C154" i="9" s="1"/>
  <c r="C4368" i="9"/>
  <c r="C4322" i="9"/>
  <c r="D5914" i="9"/>
  <c r="C4328" i="9"/>
  <c r="C4329" i="9" s="1"/>
  <c r="C4335" i="9"/>
  <c r="C3936" i="9"/>
  <c r="C3937" i="9" s="1"/>
  <c r="C4302" i="9"/>
  <c r="D5887" i="9"/>
  <c r="C4273" i="9"/>
  <c r="C4274" i="9" s="1"/>
  <c r="C3803" i="9"/>
  <c r="C3804" i="9" s="1"/>
  <c r="C3802" i="9" s="1"/>
  <c r="C3798" i="9" s="1"/>
  <c r="C3797" i="9" s="1"/>
  <c r="C122" i="9" s="1"/>
  <c r="C4267" i="9"/>
  <c r="F4289" i="9"/>
  <c r="F4287" i="9"/>
  <c r="F4297" i="9"/>
  <c r="F4295" i="9"/>
  <c r="F4293" i="9"/>
  <c r="F4291" i="9"/>
  <c r="C4229" i="9"/>
  <c r="C4230" i="9" s="1"/>
  <c r="C4231" i="9" s="1"/>
  <c r="C4244" i="9"/>
  <c r="C150" i="9" s="1"/>
  <c r="C4257" i="9"/>
  <c r="C4253" i="9"/>
  <c r="C4227" i="9"/>
  <c r="C149" i="9" s="1"/>
  <c r="C4252" i="9"/>
  <c r="C4256" i="9"/>
  <c r="C4246" i="9"/>
  <c r="C4247" i="9" s="1"/>
  <c r="C4248" i="9" s="1"/>
  <c r="C4260" i="9"/>
  <c r="C4240" i="9"/>
  <c r="C4239" i="9"/>
  <c r="C4236" i="9"/>
  <c r="C4243" i="9"/>
  <c r="C4207" i="9"/>
  <c r="F4224" i="9"/>
  <c r="E4221" i="9"/>
  <c r="C4200" i="9"/>
  <c r="C4198" i="9" s="1"/>
  <c r="C4194" i="9" s="1"/>
  <c r="E4166" i="9"/>
  <c r="C4177" i="9"/>
  <c r="C4176" i="9" s="1"/>
  <c r="C145" i="9" s="1"/>
  <c r="C4173" i="9"/>
  <c r="C4162" i="9"/>
  <c r="C4163" i="9" s="1"/>
  <c r="C4164" i="9" s="1"/>
  <c r="C4170" i="9"/>
  <c r="C4169" i="9"/>
  <c r="C4166" i="9"/>
  <c r="C4165" i="9"/>
  <c r="C4154" i="9"/>
  <c r="C4147" i="9" s="1"/>
  <c r="C4113" i="9"/>
  <c r="C4120" i="9" s="1"/>
  <c r="C4145" i="9"/>
  <c r="C4142" i="9"/>
  <c r="C4131" i="9"/>
  <c r="C4132" i="9" s="1"/>
  <c r="C4133" i="9" s="1"/>
  <c r="C4141" i="9"/>
  <c r="C4138" i="9"/>
  <c r="C4137" i="9"/>
  <c r="E4083" i="9"/>
  <c r="C4096" i="9"/>
  <c r="C4095" i="9" s="1"/>
  <c r="C138" i="9" s="1"/>
  <c r="F4086" i="9"/>
  <c r="C4072" i="9"/>
  <c r="C137" i="9" s="1"/>
  <c r="C4094" i="9"/>
  <c r="C4083" i="9"/>
  <c r="C4082" i="9"/>
  <c r="C4089" i="9"/>
  <c r="C4088" i="9"/>
  <c r="C4074" i="9"/>
  <c r="C4075" i="9" s="1"/>
  <c r="C4076" i="9" s="1"/>
  <c r="C4017" i="9"/>
  <c r="C4018" i="9" s="1"/>
  <c r="C4019" i="9" s="1"/>
  <c r="C4030" i="9"/>
  <c r="C4026" i="9"/>
  <c r="C4025" i="9"/>
  <c r="C4015" i="9"/>
  <c r="C134" i="9" s="1"/>
  <c r="C4029" i="9"/>
  <c r="C4037" i="9"/>
  <c r="C4036" i="9" s="1"/>
  <c r="C135" i="9" s="1"/>
  <c r="C3718" i="9"/>
  <c r="C3714" i="9"/>
  <c r="C4071" i="9"/>
  <c r="C4064" i="9"/>
  <c r="C4063" i="9"/>
  <c r="C4065" i="9"/>
  <c r="C4066" i="9"/>
  <c r="C4055" i="9"/>
  <c r="C4056" i="9" s="1"/>
  <c r="C4057" i="9" s="1"/>
  <c r="C3708" i="9"/>
  <c r="C3709" i="9" s="1"/>
  <c r="C3710" i="9" s="1"/>
  <c r="C3715" i="9"/>
  <c r="C3706" i="9"/>
  <c r="C117" i="9" s="1"/>
  <c r="C3719" i="9"/>
  <c r="F3930" i="9"/>
  <c r="F3928" i="9"/>
  <c r="C3983" i="9"/>
  <c r="C3984" i="9" s="1"/>
  <c r="C3985" i="9" s="1"/>
  <c r="C3994" i="9"/>
  <c r="C3993" i="9"/>
  <c r="C3989" i="9"/>
  <c r="C3990" i="9"/>
  <c r="C3981" i="9"/>
  <c r="C132" i="9" s="1"/>
  <c r="C3961" i="9"/>
  <c r="C3954" i="9"/>
  <c r="C3958" i="9"/>
  <c r="C3953" i="9"/>
  <c r="C3957" i="9"/>
  <c r="C3947" i="9"/>
  <c r="C3948" i="9" s="1"/>
  <c r="C3949" i="9" s="1"/>
  <c r="F5894" i="9"/>
  <c r="C3897" i="9"/>
  <c r="C3888" i="9"/>
  <c r="C3856" i="9"/>
  <c r="C3857" i="9"/>
  <c r="C3860" i="9"/>
  <c r="C3850" i="9"/>
  <c r="C3851" i="9" s="1"/>
  <c r="C3852" i="9" s="1"/>
  <c r="C3861" i="9"/>
  <c r="C3864" i="9"/>
  <c r="C3792" i="9"/>
  <c r="C3793" i="9" s="1"/>
  <c r="E3791" i="9" s="1"/>
  <c r="C3786" i="9"/>
  <c r="C3787" i="9" s="1"/>
  <c r="E3785" i="9" s="1"/>
  <c r="C3780" i="9"/>
  <c r="C3781" i="9" s="1"/>
  <c r="F3782" i="9" s="1"/>
  <c r="C3749" i="9"/>
  <c r="C3742" i="9"/>
  <c r="C3743" i="9" s="1"/>
  <c r="C3744" i="9" s="1"/>
  <c r="C3753" i="9"/>
  <c r="E5882" i="9"/>
  <c r="C3767" i="9"/>
  <c r="C3748" i="9"/>
  <c r="D5882" i="9"/>
  <c r="C3763" i="9"/>
  <c r="C3764" i="9" s="1"/>
  <c r="C3762" i="9" s="1"/>
  <c r="C3752" i="9"/>
  <c r="C3756" i="9"/>
  <c r="F5882" i="9"/>
  <c r="C3771" i="9"/>
  <c r="C3772" i="9" s="1"/>
  <c r="E3770" i="9" s="1"/>
  <c r="C3724" i="9"/>
  <c r="C3731" i="9" s="1"/>
  <c r="C3705" i="9"/>
  <c r="C3681" i="9"/>
  <c r="E3679" i="9" s="1"/>
  <c r="C3663" i="9"/>
  <c r="C3661" i="9" s="1"/>
  <c r="C3653" i="9"/>
  <c r="C3632" i="9"/>
  <c r="C3621" i="9"/>
  <c r="C3620" i="9"/>
  <c r="C3612" i="9"/>
  <c r="C3613" i="9" s="1"/>
  <c r="C3614" i="9" s="1"/>
  <c r="C3628" i="9"/>
  <c r="C3629" i="9"/>
  <c r="C3573" i="9"/>
  <c r="E3600" i="9"/>
  <c r="C3581" i="9"/>
  <c r="F3582" i="9" s="1"/>
  <c r="E3556" i="9"/>
  <c r="F3541" i="9"/>
  <c r="F3537" i="9"/>
  <c r="F3561" i="9"/>
  <c r="F3563" i="9"/>
  <c r="C3532" i="9"/>
  <c r="C3528" i="9" s="1"/>
  <c r="C3463" i="9"/>
  <c r="F3464" i="9" s="1"/>
  <c r="F3360" i="9"/>
  <c r="C3392" i="9"/>
  <c r="C3393" i="9" s="1"/>
  <c r="C3394" i="9" s="1"/>
  <c r="C3402" i="9"/>
  <c r="F3435" i="9"/>
  <c r="C3408" i="9"/>
  <c r="C3407" i="9" s="1"/>
  <c r="C105" i="9" s="1"/>
  <c r="C3398" i="9"/>
  <c r="C3403" i="9"/>
  <c r="C3399" i="9"/>
  <c r="C3406" i="9"/>
  <c r="C3370" i="9"/>
  <c r="C3389" i="9" s="1"/>
  <c r="F3362" i="9"/>
  <c r="E2684" i="9"/>
  <c r="C3352" i="9"/>
  <c r="C3353" i="9" s="1"/>
  <c r="C3351" i="9" s="1"/>
  <c r="C3347" i="9" s="1"/>
  <c r="C3346" i="9" s="1"/>
  <c r="C102" i="9" s="1"/>
  <c r="D5883" i="9"/>
  <c r="C2623" i="9"/>
  <c r="C2574" i="9"/>
  <c r="C2575" i="9" s="1"/>
  <c r="C2638" i="9"/>
  <c r="F2641" i="9" s="1"/>
  <c r="F2639" i="9"/>
  <c r="C2703" i="9"/>
  <c r="C2704" i="9" s="1"/>
  <c r="E2700" i="9" s="1"/>
  <c r="C2608" i="9"/>
  <c r="C2593" i="9"/>
  <c r="E2587" i="9" s="1"/>
  <c r="C3310" i="9"/>
  <c r="C3304" i="9"/>
  <c r="C3305" i="9" s="1"/>
  <c r="C3333" i="9"/>
  <c r="C3312" i="9"/>
  <c r="C3313" i="9" s="1"/>
  <c r="F3314" i="9" s="1"/>
  <c r="C3339" i="9"/>
  <c r="C3294" i="9"/>
  <c r="C3295" i="9" s="1"/>
  <c r="C3327" i="9"/>
  <c r="C98" i="9"/>
  <c r="C3303" i="9"/>
  <c r="C3302" i="9"/>
  <c r="C3287" i="9"/>
  <c r="C3275" i="9"/>
  <c r="C3276" i="9" s="1"/>
  <c r="C3277" i="9" s="1"/>
  <c r="C3284" i="9"/>
  <c r="C3283" i="9"/>
  <c r="C3282" i="9"/>
  <c r="C3281" i="9"/>
  <c r="C3233" i="9"/>
  <c r="C3234" i="9" s="1"/>
  <c r="F3235" i="9" s="1"/>
  <c r="C3266" i="9"/>
  <c r="C3227" i="9"/>
  <c r="C3228" i="9" s="1"/>
  <c r="F3229" i="9" s="1"/>
  <c r="C3256" i="9"/>
  <c r="C3219" i="9"/>
  <c r="C3220" i="9" s="1"/>
  <c r="F3223" i="9" s="1"/>
  <c r="C3246" i="9"/>
  <c r="C3200" i="9"/>
  <c r="C3201" i="9" s="1"/>
  <c r="C3189" i="9"/>
  <c r="C3141" i="9"/>
  <c r="C3142" i="9" s="1"/>
  <c r="E3140" i="9" s="1"/>
  <c r="C3194" i="9"/>
  <c r="C3137" i="9"/>
  <c r="C3138" i="9" s="1"/>
  <c r="E3136" i="9" s="1"/>
  <c r="C3174" i="9"/>
  <c r="C3131" i="9"/>
  <c r="C3132" i="9" s="1"/>
  <c r="F3133" i="9" s="1"/>
  <c r="C3152" i="9"/>
  <c r="C3090" i="9"/>
  <c r="C3091" i="9" s="1"/>
  <c r="E3089" i="9" s="1"/>
  <c r="C3107" i="9"/>
  <c r="C3086" i="9"/>
  <c r="C3087" i="9" s="1"/>
  <c r="E3085" i="9" s="1"/>
  <c r="C3103" i="9"/>
  <c r="C3082" i="9"/>
  <c r="C3083" i="9" s="1"/>
  <c r="C3081" i="9" s="1"/>
  <c r="C3099" i="9"/>
  <c r="C3024" i="9"/>
  <c r="C3069" i="9"/>
  <c r="C3004" i="9"/>
  <c r="C3065" i="9"/>
  <c r="C3040" i="9"/>
  <c r="C3073" i="9"/>
  <c r="C3074" i="9" s="1"/>
  <c r="E3072" i="9" s="1"/>
  <c r="C3029" i="9"/>
  <c r="C2561" i="9"/>
  <c r="C3044" i="9"/>
  <c r="C2550" i="9"/>
  <c r="E2546" i="9" s="1"/>
  <c r="C2950" i="9"/>
  <c r="C2951" i="9" s="1"/>
  <c r="C2940" i="9"/>
  <c r="C2941" i="9" s="1"/>
  <c r="F2946" i="9" s="1"/>
  <c r="C2958" i="9"/>
  <c r="C2959" i="9" s="1"/>
  <c r="E2957" i="9" s="1"/>
  <c r="C2898" i="9"/>
  <c r="C2899" i="9" s="1"/>
  <c r="E2895" i="9" s="1"/>
  <c r="C2927" i="9"/>
  <c r="C2886" i="9"/>
  <c r="C2887" i="9" s="1"/>
  <c r="C2883" i="9" s="1"/>
  <c r="C2909" i="9"/>
  <c r="C2892" i="9"/>
  <c r="C2893" i="9" s="1"/>
  <c r="E2889" i="9" s="1"/>
  <c r="C2919" i="9"/>
  <c r="C2511" i="9"/>
  <c r="C2509" i="9" s="1"/>
  <c r="C2831" i="9"/>
  <c r="C2778" i="9"/>
  <c r="C2810" i="9"/>
  <c r="C2865" i="9"/>
  <c r="C2833" i="9"/>
  <c r="C2834" i="9" s="1"/>
  <c r="C2780" i="9"/>
  <c r="C2781" i="9" s="1"/>
  <c r="C2849" i="9"/>
  <c r="C2796" i="9"/>
  <c r="C2739" i="9"/>
  <c r="C2761" i="9"/>
  <c r="C2751" i="9"/>
  <c r="C2766" i="9"/>
  <c r="C2400" i="9"/>
  <c r="E2398" i="9" s="1"/>
  <c r="C2728" i="9"/>
  <c r="C2729" i="9" s="1"/>
  <c r="E2727" i="9" s="1"/>
  <c r="C2725" i="9"/>
  <c r="E2723" i="9" s="1"/>
  <c r="C2645" i="9"/>
  <c r="C2655" i="9" s="1"/>
  <c r="E2659" i="9"/>
  <c r="E2517" i="9"/>
  <c r="C2527" i="9"/>
  <c r="F2528" i="9" s="1"/>
  <c r="E769" i="9"/>
  <c r="E955" i="9"/>
  <c r="E870" i="9"/>
  <c r="C2430" i="9"/>
  <c r="C2441" i="9"/>
  <c r="C2421" i="9"/>
  <c r="C2422" i="9" s="1"/>
  <c r="C2423" i="9" s="1"/>
  <c r="C2437" i="9"/>
  <c r="C2419" i="9"/>
  <c r="C2438" i="9"/>
  <c r="C2292" i="9"/>
  <c r="C2290" i="9" s="1"/>
  <c r="C2484" i="9"/>
  <c r="C2470" i="9" s="1"/>
  <c r="C2403" i="9"/>
  <c r="C2402" i="9" s="1"/>
  <c r="C66" i="9" s="1"/>
  <c r="C2342" i="9"/>
  <c r="C2340" i="9" s="1"/>
  <c r="F2351" i="9"/>
  <c r="C2396" i="9"/>
  <c r="E2394" i="9" s="1"/>
  <c r="C2392" i="9"/>
  <c r="C2390" i="9" s="1"/>
  <c r="E2308" i="9"/>
  <c r="F2357" i="9"/>
  <c r="C2381" i="9"/>
  <c r="E2379" i="9" s="1"/>
  <c r="F2382" i="9"/>
  <c r="C2373" i="9"/>
  <c r="E2371" i="9" s="1"/>
  <c r="F2374" i="9"/>
  <c r="F2376" i="9"/>
  <c r="E2354" i="9"/>
  <c r="C2367" i="9"/>
  <c r="C2365" i="9" s="1"/>
  <c r="F2368" i="9"/>
  <c r="C2348" i="9"/>
  <c r="E2346" i="9" s="1"/>
  <c r="C2329" i="9"/>
  <c r="E2327" i="9" s="1"/>
  <c r="C2333" i="9"/>
  <c r="E2331" i="9" s="1"/>
  <c r="C2323" i="9"/>
  <c r="C2325" i="9"/>
  <c r="G662" i="9"/>
  <c r="G663" i="9"/>
  <c r="G664" i="9"/>
  <c r="G665" i="9"/>
  <c r="E3933" i="9" l="1"/>
  <c r="E5052" i="9"/>
  <c r="C4975" i="9"/>
  <c r="F4976" i="9" s="1"/>
  <c r="C4948" i="9"/>
  <c r="F4949" i="9" s="1"/>
  <c r="C3600" i="9"/>
  <c r="C3606" i="9"/>
  <c r="C3599" i="9"/>
  <c r="C3591" i="9"/>
  <c r="C3592" i="9" s="1"/>
  <c r="C3593" i="9" s="1"/>
  <c r="E4885" i="9"/>
  <c r="F4892" i="9"/>
  <c r="F4890" i="9"/>
  <c r="C3605" i="9"/>
  <c r="C3609" i="9"/>
  <c r="C5819" i="9"/>
  <c r="C5839" i="9" s="1"/>
  <c r="E5829" i="9"/>
  <c r="C5814" i="9"/>
  <c r="E5812" i="9" s="1"/>
  <c r="C5779" i="9"/>
  <c r="C5778" i="9" s="1"/>
  <c r="C221" i="9" s="1"/>
  <c r="C5735" i="9"/>
  <c r="C5732" i="9"/>
  <c r="C5721" i="9"/>
  <c r="C5722" i="9" s="1"/>
  <c r="C5723" i="9" s="1"/>
  <c r="C5731" i="9"/>
  <c r="C5727" i="9"/>
  <c r="C5728" i="9"/>
  <c r="C5718" i="9"/>
  <c r="C5702" i="9"/>
  <c r="C5710" i="9"/>
  <c r="C5711" i="9"/>
  <c r="C5715" i="9"/>
  <c r="C5704" i="9"/>
  <c r="C5705" i="9" s="1"/>
  <c r="C5706" i="9" s="1"/>
  <c r="C5714" i="9"/>
  <c r="E5677" i="9"/>
  <c r="C5699" i="9"/>
  <c r="C5657" i="9"/>
  <c r="C5656" i="9" s="1"/>
  <c r="C214" i="9" s="1"/>
  <c r="C5695" i="9"/>
  <c r="C5696" i="9"/>
  <c r="C5694" i="9"/>
  <c r="C5687" i="9"/>
  <c r="C5688" i="9" s="1"/>
  <c r="C5689" i="9" s="1"/>
  <c r="C5693" i="9"/>
  <c r="F5674" i="9"/>
  <c r="F5666" i="9"/>
  <c r="C5655" i="9"/>
  <c r="C5642" i="9"/>
  <c r="C5641" i="9"/>
  <c r="C5631" i="9"/>
  <c r="C5632" i="9" s="1"/>
  <c r="C5633" i="9" s="1"/>
  <c r="C5648" i="9"/>
  <c r="C5647" i="9"/>
  <c r="F5595" i="9"/>
  <c r="C5604" i="9"/>
  <c r="E5598" i="9" s="1"/>
  <c r="F5541" i="9"/>
  <c r="F5543" i="9"/>
  <c r="C5520" i="9"/>
  <c r="C5519" i="9" s="1"/>
  <c r="C209" i="9" s="1"/>
  <c r="C5480" i="9"/>
  <c r="C5479" i="9" s="1"/>
  <c r="C207" i="9" s="1"/>
  <c r="F5499" i="9"/>
  <c r="F5497" i="9"/>
  <c r="C5517" i="9"/>
  <c r="C5503" i="9" s="1"/>
  <c r="C5502" i="9" s="1"/>
  <c r="C208" i="9" s="1"/>
  <c r="E5494" i="9"/>
  <c r="F5340" i="9"/>
  <c r="C5478" i="9"/>
  <c r="C5475" i="9"/>
  <c r="C5474" i="9"/>
  <c r="C5473" i="9"/>
  <c r="C5472" i="9"/>
  <c r="C5469" i="9"/>
  <c r="C5470" i="9" s="1"/>
  <c r="C5471" i="9" s="1"/>
  <c r="C5455" i="9"/>
  <c r="C205" i="9" s="1"/>
  <c r="C5466" i="9"/>
  <c r="C5460" i="9"/>
  <c r="C5461" i="9"/>
  <c r="C5462" i="9"/>
  <c r="C5463" i="9"/>
  <c r="C5457" i="9"/>
  <c r="C5458" i="9" s="1"/>
  <c r="C5459" i="9" s="1"/>
  <c r="E5463" i="9"/>
  <c r="C5451" i="9"/>
  <c r="F5452" i="9" s="1"/>
  <c r="C5417" i="9"/>
  <c r="C203" i="9" s="1"/>
  <c r="C5425" i="9"/>
  <c r="C5419" i="9"/>
  <c r="C5420" i="9" s="1"/>
  <c r="C5421" i="9" s="1"/>
  <c r="C5426" i="9"/>
  <c r="C5430" i="9"/>
  <c r="C5429" i="9"/>
  <c r="C5433" i="9"/>
  <c r="F5348" i="9"/>
  <c r="F5414" i="9"/>
  <c r="F5406" i="9"/>
  <c r="C5360" i="9"/>
  <c r="C5359" i="9" s="1"/>
  <c r="C201" i="9" s="1"/>
  <c r="F5398" i="9"/>
  <c r="F5385" i="9"/>
  <c r="C5389" i="9"/>
  <c r="C5388" i="9" s="1"/>
  <c r="C202" i="9" s="1"/>
  <c r="F5377" i="9"/>
  <c r="C4226" i="9"/>
  <c r="C5335" i="9"/>
  <c r="C198" i="9"/>
  <c r="C5292" i="9"/>
  <c r="E5290" i="9" s="1"/>
  <c r="C5203" i="9"/>
  <c r="C5206" i="9"/>
  <c r="C5202" i="9"/>
  <c r="C5199" i="9"/>
  <c r="C5200" i="9" s="1"/>
  <c r="C5201" i="9" s="1"/>
  <c r="C5210" i="9"/>
  <c r="C5197" i="9"/>
  <c r="C190" i="9" s="1"/>
  <c r="E5027" i="9"/>
  <c r="F5118" i="9"/>
  <c r="F5120" i="9"/>
  <c r="C5105" i="9"/>
  <c r="C5101" i="9" s="1"/>
  <c r="F5110" i="9"/>
  <c r="F5128" i="9"/>
  <c r="F5130" i="9"/>
  <c r="C5099" i="9"/>
  <c r="C5088" i="9"/>
  <c r="C5092" i="9"/>
  <c r="C5087" i="9"/>
  <c r="C5077" i="9"/>
  <c r="C5078" i="9" s="1"/>
  <c r="C5079" i="9" s="1"/>
  <c r="C5091" i="9"/>
  <c r="F5057" i="9"/>
  <c r="F5055" i="9"/>
  <c r="C5065" i="9"/>
  <c r="C5061" i="9" s="1"/>
  <c r="C5060" i="9" s="1"/>
  <c r="C182" i="9" s="1"/>
  <c r="F5041" i="9"/>
  <c r="C5005" i="9"/>
  <c r="C4994" i="9"/>
  <c r="C4993" i="9"/>
  <c r="C4983" i="9"/>
  <c r="C4984" i="9" s="1"/>
  <c r="C4985" i="9" s="1"/>
  <c r="C5000" i="9"/>
  <c r="C4999" i="9"/>
  <c r="C4965" i="9"/>
  <c r="C4938" i="9"/>
  <c r="C4848" i="9"/>
  <c r="C4844" i="9" s="1"/>
  <c r="C4843" i="9" s="1"/>
  <c r="C172" i="9" s="1"/>
  <c r="F4797" i="9"/>
  <c r="C4902" i="9"/>
  <c r="C4900" i="9" s="1"/>
  <c r="C4896" i="9" s="1"/>
  <c r="C4895" i="9" s="1"/>
  <c r="C174" i="9" s="1"/>
  <c r="F4795" i="9"/>
  <c r="C4806" i="9"/>
  <c r="F4811" i="9" s="1"/>
  <c r="F4346" i="9"/>
  <c r="E4790" i="9"/>
  <c r="C4714" i="9"/>
  <c r="C4710" i="9" s="1"/>
  <c r="C4726" i="9" s="1"/>
  <c r="E4720" i="9"/>
  <c r="F4723" i="9"/>
  <c r="F4717" i="9"/>
  <c r="F4413" i="9"/>
  <c r="C4821" i="9"/>
  <c r="F4822" i="9" s="1"/>
  <c r="C4829" i="9"/>
  <c r="E4827" i="9" s="1"/>
  <c r="C4837" i="9"/>
  <c r="E4835" i="9" s="1"/>
  <c r="F4411" i="9"/>
  <c r="E4749" i="9"/>
  <c r="F4756" i="9"/>
  <c r="F4754" i="9"/>
  <c r="F4758" i="9"/>
  <c r="E4726" i="9"/>
  <c r="C4422" i="9"/>
  <c r="F4423" i="9" s="1"/>
  <c r="C4765" i="9"/>
  <c r="E4761" i="9" s="1"/>
  <c r="F4415" i="9"/>
  <c r="C4704" i="9"/>
  <c r="C4705" i="9"/>
  <c r="C4698" i="9"/>
  <c r="C4699" i="9"/>
  <c r="C4690" i="9"/>
  <c r="C4691" i="9" s="1"/>
  <c r="C4692" i="9" s="1"/>
  <c r="C4708" i="9"/>
  <c r="F4649" i="9"/>
  <c r="C4670" i="9"/>
  <c r="C4656" i="9"/>
  <c r="C4657" i="9" s="1"/>
  <c r="C4658" i="9" s="1"/>
  <c r="C4663" i="9"/>
  <c r="C4662" i="9"/>
  <c r="C4666" i="9"/>
  <c r="C4667" i="9"/>
  <c r="E4642" i="9"/>
  <c r="F4651" i="9"/>
  <c r="C4591" i="9"/>
  <c r="C4592" i="9"/>
  <c r="C4585" i="9"/>
  <c r="C4586" i="9"/>
  <c r="C4577" i="9"/>
  <c r="C4578" i="9" s="1"/>
  <c r="C4579" i="9" s="1"/>
  <c r="C4597" i="9"/>
  <c r="E4569" i="9"/>
  <c r="C4551" i="9"/>
  <c r="C4540" i="9"/>
  <c r="C4539" i="9"/>
  <c r="C4531" i="9"/>
  <c r="C4532" i="9" s="1"/>
  <c r="C4533" i="9" s="1"/>
  <c r="C4546" i="9"/>
  <c r="C4545" i="9"/>
  <c r="C4523" i="9"/>
  <c r="C4522" i="9"/>
  <c r="C4506" i="9"/>
  <c r="C4507" i="9" s="1"/>
  <c r="C4508" i="9" s="1"/>
  <c r="C4517" i="9"/>
  <c r="C4528" i="9"/>
  <c r="C4516" i="9"/>
  <c r="C4501" i="9"/>
  <c r="C4498" i="9"/>
  <c r="C4487" i="9"/>
  <c r="C4488" i="9" s="1"/>
  <c r="C4489" i="9" s="1"/>
  <c r="C4497" i="9"/>
  <c r="C4494" i="9"/>
  <c r="C4493" i="9"/>
  <c r="C4484" i="9"/>
  <c r="C4432" i="9"/>
  <c r="C4433" i="9" s="1"/>
  <c r="C4434" i="9" s="1"/>
  <c r="C4468" i="9"/>
  <c r="C4453" i="9"/>
  <c r="C4469" i="9"/>
  <c r="C4452" i="9"/>
  <c r="E4300" i="9"/>
  <c r="C4268" i="9"/>
  <c r="C4388" i="9"/>
  <c r="C4374" i="9"/>
  <c r="C4375" i="9" s="1"/>
  <c r="C4376" i="9" s="1"/>
  <c r="C4384" i="9"/>
  <c r="C4380" i="9"/>
  <c r="C4385" i="9"/>
  <c r="C4381" i="9"/>
  <c r="E4366" i="9"/>
  <c r="F4369" i="9"/>
  <c r="C4356" i="9"/>
  <c r="C4323" i="9"/>
  <c r="F4324" i="9" s="1"/>
  <c r="E4331" i="9"/>
  <c r="F4338" i="9"/>
  <c r="F4336" i="9"/>
  <c r="E4341" i="9"/>
  <c r="F4313" i="9"/>
  <c r="F4311" i="9"/>
  <c r="F4309" i="9"/>
  <c r="F4307" i="9"/>
  <c r="F4305" i="9"/>
  <c r="F4303" i="9"/>
  <c r="C4221" i="9"/>
  <c r="C4217" i="9"/>
  <c r="C4216" i="9"/>
  <c r="C4208" i="9"/>
  <c r="C4209" i="9" s="1"/>
  <c r="C4210" i="9" s="1"/>
  <c r="C4220" i="9"/>
  <c r="C4206" i="9"/>
  <c r="C148" i="9" s="1"/>
  <c r="C4193" i="9"/>
  <c r="C147" i="9" s="1"/>
  <c r="C4205" i="9"/>
  <c r="C4195" i="9"/>
  <c r="C4196" i="9" s="1"/>
  <c r="C4197" i="9" s="1"/>
  <c r="C4204" i="9"/>
  <c r="C4203" i="9"/>
  <c r="C4202" i="9"/>
  <c r="C4201" i="9"/>
  <c r="C4190" i="9"/>
  <c r="C4187" i="9"/>
  <c r="C4178" i="9"/>
  <c r="C4179" i="9" s="1"/>
  <c r="C4180" i="9" s="1"/>
  <c r="C4186" i="9"/>
  <c r="C4185" i="9"/>
  <c r="C4184" i="9"/>
  <c r="C4122" i="9"/>
  <c r="C4159" i="9"/>
  <c r="C4146" i="9"/>
  <c r="C142" i="9" s="1"/>
  <c r="C4151" i="9"/>
  <c r="C4152" i="9"/>
  <c r="C4155" i="9"/>
  <c r="C4156" i="9"/>
  <c r="C4148" i="9"/>
  <c r="C4149" i="9" s="1"/>
  <c r="C4150" i="9" s="1"/>
  <c r="E4152" i="9"/>
  <c r="C4123" i="9"/>
  <c r="C4114" i="9"/>
  <c r="C4115" i="9" s="1"/>
  <c r="C4116" i="9" s="1"/>
  <c r="C4126" i="9"/>
  <c r="C4112" i="9"/>
  <c r="C139" i="9" s="1"/>
  <c r="C4103" i="9"/>
  <c r="C4108" i="9"/>
  <c r="C4121" i="9"/>
  <c r="C4107" i="9"/>
  <c r="C4111" i="9"/>
  <c r="C4097" i="9"/>
  <c r="C4098" i="9" s="1"/>
  <c r="C4099" i="9" s="1"/>
  <c r="C4104" i="9"/>
  <c r="C4048" i="9"/>
  <c r="C4038" i="9"/>
  <c r="C4039" i="9" s="1"/>
  <c r="C4040" i="9" s="1"/>
  <c r="C4045" i="9"/>
  <c r="C4049" i="9"/>
  <c r="C4044" i="9"/>
  <c r="C4052" i="9"/>
  <c r="F3940" i="9"/>
  <c r="F3938" i="9"/>
  <c r="F3942" i="9"/>
  <c r="F3891" i="9"/>
  <c r="E3884" i="9"/>
  <c r="F3889" i="9"/>
  <c r="C3898" i="9"/>
  <c r="F3899" i="9" s="1"/>
  <c r="C3819" i="9"/>
  <c r="E3823" i="9"/>
  <c r="E3827" i="9"/>
  <c r="C3813" i="9"/>
  <c r="C3805" i="9"/>
  <c r="C3809" i="9"/>
  <c r="C3806" i="9"/>
  <c r="C3810" i="9"/>
  <c r="C3799" i="9"/>
  <c r="C3800" i="9" s="1"/>
  <c r="C3801" i="9" s="1"/>
  <c r="C3779" i="9"/>
  <c r="C3775" i="9" s="1"/>
  <c r="C3774" i="9" s="1"/>
  <c r="C121" i="9" s="1"/>
  <c r="F3788" i="9"/>
  <c r="F3794" i="9"/>
  <c r="C3768" i="9"/>
  <c r="E3766" i="9" s="1"/>
  <c r="C3735" i="9"/>
  <c r="C3723" i="9"/>
  <c r="C118" i="9" s="1"/>
  <c r="C3739" i="9"/>
  <c r="C3725" i="9"/>
  <c r="C3726" i="9" s="1"/>
  <c r="C3727" i="9" s="1"/>
  <c r="C3736" i="9"/>
  <c r="C3732" i="9"/>
  <c r="F3682" i="9"/>
  <c r="F3686" i="9"/>
  <c r="C3701" i="9"/>
  <c r="C3697" i="9"/>
  <c r="C3702" i="9"/>
  <c r="C3698" i="9"/>
  <c r="F3684" i="9"/>
  <c r="C3691" i="9"/>
  <c r="C3692" i="9" s="1"/>
  <c r="C3693" i="9" s="1"/>
  <c r="C3657" i="9"/>
  <c r="C3656" i="9" s="1"/>
  <c r="C115" i="9" s="1"/>
  <c r="F3666" i="9"/>
  <c r="F3668" i="9"/>
  <c r="F3664" i="9"/>
  <c r="C3644" i="9"/>
  <c r="C3649" i="9"/>
  <c r="C3643" i="9"/>
  <c r="C3635" i="9"/>
  <c r="C3636" i="9" s="1"/>
  <c r="C3637" i="9" s="1"/>
  <c r="C3650" i="9"/>
  <c r="C3569" i="9"/>
  <c r="C3568" i="9" s="1"/>
  <c r="C110" i="9" s="1"/>
  <c r="E3579" i="9"/>
  <c r="C3567" i="9"/>
  <c r="C3527" i="9"/>
  <c r="C109" i="9" s="1"/>
  <c r="C3555" i="9"/>
  <c r="C3556" i="9"/>
  <c r="C3529" i="9"/>
  <c r="C3530" i="9" s="1"/>
  <c r="C3531" i="9" s="1"/>
  <c r="C3543" i="9"/>
  <c r="C3544" i="9"/>
  <c r="E3459" i="9"/>
  <c r="F3470" i="9"/>
  <c r="F3474" i="9"/>
  <c r="C3439" i="9"/>
  <c r="C3477" i="9" s="1"/>
  <c r="F3466" i="9"/>
  <c r="F3472" i="9"/>
  <c r="F3468" i="9"/>
  <c r="C3420" i="9"/>
  <c r="C3409" i="9"/>
  <c r="C3410" i="9" s="1"/>
  <c r="C3411" i="9" s="1"/>
  <c r="C3429" i="9"/>
  <c r="C3430" i="9"/>
  <c r="C3419" i="9"/>
  <c r="C3437" i="9"/>
  <c r="C3371" i="9"/>
  <c r="C3372" i="9" s="1"/>
  <c r="C3373" i="9" s="1"/>
  <c r="C3386" i="9"/>
  <c r="C3385" i="9"/>
  <c r="C3380" i="9"/>
  <c r="C3379" i="9"/>
  <c r="C3369" i="9"/>
  <c r="C103" i="9" s="1"/>
  <c r="C3368" i="9"/>
  <c r="C3356" i="9"/>
  <c r="C3357" i="9"/>
  <c r="C3364" i="9"/>
  <c r="C3365" i="9"/>
  <c r="C3348" i="9"/>
  <c r="C3349" i="9" s="1"/>
  <c r="C3350" i="9" s="1"/>
  <c r="F3354" i="9"/>
  <c r="E2636" i="9"/>
  <c r="C2624" i="9"/>
  <c r="F2625" i="9" s="1"/>
  <c r="F2627" i="9"/>
  <c r="C2609" i="9"/>
  <c r="E2603" i="9" s="1"/>
  <c r="F3298" i="9"/>
  <c r="F3300" i="9"/>
  <c r="C3293" i="9"/>
  <c r="E3303" i="9"/>
  <c r="F3308" i="9"/>
  <c r="F3306" i="9"/>
  <c r="C3328" i="9"/>
  <c r="C3340" i="9"/>
  <c r="C3334" i="9"/>
  <c r="F3318" i="9"/>
  <c r="F3296" i="9"/>
  <c r="F3316" i="9"/>
  <c r="C3247" i="9"/>
  <c r="F3250" i="9" s="1"/>
  <c r="C3257" i="9"/>
  <c r="E3255" i="9" s="1"/>
  <c r="C3267" i="9"/>
  <c r="E3265" i="9" s="1"/>
  <c r="F3237" i="9"/>
  <c r="F3221" i="9"/>
  <c r="E3226" i="9"/>
  <c r="E3232" i="9"/>
  <c r="F3143" i="9"/>
  <c r="C3195" i="9"/>
  <c r="E3193" i="9" s="1"/>
  <c r="C3153" i="9"/>
  <c r="F3158" i="9" s="1"/>
  <c r="C3025" i="9"/>
  <c r="F3026" i="9" s="1"/>
  <c r="C3175" i="9"/>
  <c r="F3190" i="9" s="1"/>
  <c r="C3130" i="9"/>
  <c r="C3126" i="9" s="1"/>
  <c r="C3121" i="9"/>
  <c r="C3120" i="9"/>
  <c r="C3041" i="9"/>
  <c r="F3042" i="9" s="1"/>
  <c r="C3100" i="9"/>
  <c r="C3104" i="9"/>
  <c r="E3102" i="9" s="1"/>
  <c r="C3108" i="9"/>
  <c r="E3106" i="9" s="1"/>
  <c r="C3077" i="9"/>
  <c r="C3076" i="9" s="1"/>
  <c r="C91" i="9" s="1"/>
  <c r="C3066" i="9"/>
  <c r="C3064" i="9" s="1"/>
  <c r="C3070" i="9"/>
  <c r="E3068" i="9" s="1"/>
  <c r="C3005" i="9"/>
  <c r="F3006" i="9" s="1"/>
  <c r="F2553" i="9"/>
  <c r="F2551" i="9"/>
  <c r="F2555" i="9"/>
  <c r="C3045" i="9"/>
  <c r="C2562" i="9"/>
  <c r="E2558" i="9" s="1"/>
  <c r="E2980" i="9"/>
  <c r="C2972" i="9"/>
  <c r="E2976" i="9"/>
  <c r="F2962" i="9"/>
  <c r="F2960" i="9"/>
  <c r="F2964" i="9"/>
  <c r="C2939" i="9"/>
  <c r="F2944" i="9"/>
  <c r="F2942" i="9"/>
  <c r="F2952" i="9"/>
  <c r="C2920" i="9"/>
  <c r="E2916" i="9" s="1"/>
  <c r="C2910" i="9"/>
  <c r="C2906" i="9" s="1"/>
  <c r="C2928" i="9"/>
  <c r="E2924" i="9" s="1"/>
  <c r="C2879" i="9"/>
  <c r="C2878" i="9" s="1"/>
  <c r="C83" i="9" s="1"/>
  <c r="F2512" i="9"/>
  <c r="C2850" i="9"/>
  <c r="E2846" i="9" s="1"/>
  <c r="C2866" i="9"/>
  <c r="E2862" i="9" s="1"/>
  <c r="C2832" i="9"/>
  <c r="C2828" i="9" s="1"/>
  <c r="C2752" i="9"/>
  <c r="F2755" i="9" s="1"/>
  <c r="C2797" i="9"/>
  <c r="F2798" i="9" s="1"/>
  <c r="C2811" i="9"/>
  <c r="F2812" i="9" s="1"/>
  <c r="C2762" i="9"/>
  <c r="F2763" i="9" s="1"/>
  <c r="C2740" i="9"/>
  <c r="F2741" i="9" s="1"/>
  <c r="C2779" i="9"/>
  <c r="C2775" i="9" s="1"/>
  <c r="C2715" i="9"/>
  <c r="C2646" i="9"/>
  <c r="C2647" i="9" s="1"/>
  <c r="C2648" i="9" s="1"/>
  <c r="C2664" i="9"/>
  <c r="C2659" i="9"/>
  <c r="C2654" i="9"/>
  <c r="C2644" i="9"/>
  <c r="C77" i="9" s="1"/>
  <c r="C2658" i="9"/>
  <c r="E2523" i="9"/>
  <c r="C2505" i="9"/>
  <c r="C2523" i="9" s="1"/>
  <c r="C2285" i="9"/>
  <c r="E2482" i="9"/>
  <c r="C2485" i="9"/>
  <c r="C2471" i="9"/>
  <c r="C2472" i="9" s="1"/>
  <c r="C2473" i="9" s="1"/>
  <c r="C2482" i="9"/>
  <c r="C2481" i="9"/>
  <c r="C2478" i="9"/>
  <c r="C2477" i="9"/>
  <c r="C2469" i="9"/>
  <c r="C70" i="9" s="1"/>
  <c r="C2386" i="9"/>
  <c r="C2387" i="9" s="1"/>
  <c r="C2388" i="9" s="1"/>
  <c r="C2389" i="9" s="1"/>
  <c r="C2410" i="9"/>
  <c r="C2404" i="9"/>
  <c r="C2405" i="9" s="1"/>
  <c r="C2406" i="9" s="1"/>
  <c r="C2418" i="9"/>
  <c r="C2415" i="9"/>
  <c r="C2411" i="9"/>
  <c r="C2414" i="9"/>
  <c r="C2361" i="9"/>
  <c r="C2378" i="9" s="1"/>
  <c r="C2336" i="9"/>
  <c r="C2335" i="9" s="1"/>
  <c r="C63" i="9" s="1"/>
  <c r="C2319" i="9"/>
  <c r="C2334" i="9" s="1"/>
  <c r="G988" i="9"/>
  <c r="G989" i="9"/>
  <c r="F3176" i="9" l="1"/>
  <c r="F3178" i="9"/>
  <c r="F3180" i="9"/>
  <c r="F3182" i="9"/>
  <c r="F3184" i="9"/>
  <c r="F3186" i="9"/>
  <c r="F3188" i="9"/>
  <c r="E4946" i="9"/>
  <c r="E4973" i="9"/>
  <c r="F4978" i="9"/>
  <c r="F4951" i="9"/>
  <c r="C5820" i="9"/>
  <c r="C5821" i="9" s="1"/>
  <c r="C5822" i="9" s="1"/>
  <c r="C5834" i="9"/>
  <c r="C5835" i="9"/>
  <c r="C5828" i="9"/>
  <c r="C5829" i="9"/>
  <c r="C5838" i="9"/>
  <c r="C5818" i="9"/>
  <c r="C5817" i="9" s="1"/>
  <c r="C5800" i="9"/>
  <c r="C217" i="9"/>
  <c r="C5701" i="9"/>
  <c r="C5790" i="9"/>
  <c r="C5791" i="9"/>
  <c r="C5788" i="9"/>
  <c r="C5789" i="9"/>
  <c r="C5796" i="9"/>
  <c r="C5780" i="9"/>
  <c r="C5781" i="9" s="1"/>
  <c r="C5782" i="9" s="1"/>
  <c r="C5568" i="9"/>
  <c r="C5567" i="9" s="1"/>
  <c r="C211" i="9" s="1"/>
  <c r="C5684" i="9"/>
  <c r="C5669" i="9"/>
  <c r="C5668" i="9"/>
  <c r="C5658" i="9"/>
  <c r="C5659" i="9" s="1"/>
  <c r="C5660" i="9" s="1"/>
  <c r="C5676" i="9"/>
  <c r="C5677" i="9"/>
  <c r="F5611" i="9"/>
  <c r="F5607" i="9"/>
  <c r="F5605" i="9"/>
  <c r="F5609" i="9"/>
  <c r="C5490" i="9"/>
  <c r="C5481" i="9"/>
  <c r="C5482" i="9" s="1"/>
  <c r="C5483" i="9" s="1"/>
  <c r="C5538" i="9"/>
  <c r="C5537" i="9"/>
  <c r="C5529" i="9"/>
  <c r="C5530" i="9"/>
  <c r="C5521" i="9"/>
  <c r="C5522" i="9" s="1"/>
  <c r="C5523" i="9" s="1"/>
  <c r="C5545" i="9"/>
  <c r="C5494" i="9"/>
  <c r="F4359" i="9"/>
  <c r="C5501" i="9"/>
  <c r="C5489" i="9"/>
  <c r="C5493" i="9"/>
  <c r="E5515" i="9"/>
  <c r="C5518" i="9"/>
  <c r="C5504" i="9"/>
  <c r="C5511" i="9"/>
  <c r="C5510" i="9"/>
  <c r="C5515" i="9"/>
  <c r="C5514" i="9"/>
  <c r="E5449" i="9"/>
  <c r="C5435" i="9"/>
  <c r="C5372" i="9"/>
  <c r="C5387" i="9"/>
  <c r="C5408" i="9"/>
  <c r="C5371" i="9"/>
  <c r="C5379" i="9"/>
  <c r="C5380" i="9"/>
  <c r="C5361" i="9"/>
  <c r="C5362" i="9" s="1"/>
  <c r="C5363" i="9" s="1"/>
  <c r="C5390" i="9"/>
  <c r="C5391" i="9" s="1"/>
  <c r="C5392" i="9" s="1"/>
  <c r="C5400" i="9"/>
  <c r="C5409" i="9"/>
  <c r="C5401" i="9"/>
  <c r="C5416" i="9"/>
  <c r="E5351" i="9"/>
  <c r="C5280" i="9"/>
  <c r="C5281" i="9" s="1"/>
  <c r="C5282" i="9" s="1"/>
  <c r="C5283" i="9" s="1"/>
  <c r="C5100" i="9"/>
  <c r="C184" i="9" s="1"/>
  <c r="C5132" i="9"/>
  <c r="C5115" i="9"/>
  <c r="C5114" i="9"/>
  <c r="C5102" i="9"/>
  <c r="C5103" i="9" s="1"/>
  <c r="C5104" i="9" s="1"/>
  <c r="C5123" i="9"/>
  <c r="C5122" i="9"/>
  <c r="C5074" i="9"/>
  <c r="C5070" i="9"/>
  <c r="C5069" i="9"/>
  <c r="C5068" i="9"/>
  <c r="C5062" i="9"/>
  <c r="C5063" i="9" s="1"/>
  <c r="C5064" i="9" s="1"/>
  <c r="C5071" i="9"/>
  <c r="C4845" i="9"/>
  <c r="C4846" i="9" s="1"/>
  <c r="C4847" i="9" s="1"/>
  <c r="C4856" i="9"/>
  <c r="C4851" i="9"/>
  <c r="C4859" i="9"/>
  <c r="C4852" i="9"/>
  <c r="C4855" i="9"/>
  <c r="C4911" i="9"/>
  <c r="C4904" i="9"/>
  <c r="C4908" i="9"/>
  <c r="C4897" i="9"/>
  <c r="C4898" i="9" s="1"/>
  <c r="C4899" i="9" s="1"/>
  <c r="C4903" i="9"/>
  <c r="C4907" i="9"/>
  <c r="F4807" i="9"/>
  <c r="F4809" i="9"/>
  <c r="E4802" i="9"/>
  <c r="F4824" i="9"/>
  <c r="F4838" i="9"/>
  <c r="F4840" i="9"/>
  <c r="F4832" i="9"/>
  <c r="F4830" i="9"/>
  <c r="E4418" i="9"/>
  <c r="F4770" i="9"/>
  <c r="F4768" i="9"/>
  <c r="F4766" i="9"/>
  <c r="F4425" i="9"/>
  <c r="F4427" i="9"/>
  <c r="C4725" i="9"/>
  <c r="C4711" i="9"/>
  <c r="C4712" i="9" s="1"/>
  <c r="C4713" i="9" s="1"/>
  <c r="C4731" i="9"/>
  <c r="C4719" i="9"/>
  <c r="C4709" i="9"/>
  <c r="C168" i="9" s="1"/>
  <c r="C4720" i="9"/>
  <c r="F4275" i="9"/>
  <c r="F4281" i="9"/>
  <c r="C4266" i="9"/>
  <c r="C4262" i="9" s="1"/>
  <c r="C4261" i="9" s="1"/>
  <c r="C151" i="9" s="1"/>
  <c r="F4269" i="9"/>
  <c r="F4271" i="9"/>
  <c r="F4273" i="9"/>
  <c r="F4279" i="9"/>
  <c r="F4277" i="9"/>
  <c r="F4357" i="9"/>
  <c r="C4354" i="9"/>
  <c r="C4350" i="9" s="1"/>
  <c r="F3903" i="9"/>
  <c r="F3901" i="9"/>
  <c r="E3894" i="9"/>
  <c r="C3815" i="9"/>
  <c r="C3814" i="9" s="1"/>
  <c r="C123" i="9" s="1"/>
  <c r="C3758" i="9"/>
  <c r="C3766" i="9" s="1"/>
  <c r="C3796" i="9"/>
  <c r="C3791" i="9"/>
  <c r="C3776" i="9"/>
  <c r="C3777" i="9" s="1"/>
  <c r="C3778" i="9" s="1"/>
  <c r="C3790" i="9"/>
  <c r="C3785" i="9"/>
  <c r="C3784" i="9"/>
  <c r="C3679" i="9"/>
  <c r="C3670" i="9"/>
  <c r="C3658" i="9"/>
  <c r="C3659" i="9" s="1"/>
  <c r="C3660" i="9" s="1"/>
  <c r="C3671" i="9"/>
  <c r="C3678" i="9"/>
  <c r="C3688" i="9"/>
  <c r="C3588" i="9"/>
  <c r="C3585" i="9"/>
  <c r="C3578" i="9"/>
  <c r="C3570" i="9"/>
  <c r="C3571" i="9" s="1"/>
  <c r="C3572" i="9" s="1"/>
  <c r="C3584" i="9"/>
  <c r="C3579" i="9"/>
  <c r="C3440" i="9"/>
  <c r="C3441" i="9" s="1"/>
  <c r="C3442" i="9" s="1"/>
  <c r="C3458" i="9"/>
  <c r="C3476" i="9"/>
  <c r="C3459" i="9"/>
  <c r="C3492" i="9"/>
  <c r="C3438" i="9"/>
  <c r="C106" i="9" s="1"/>
  <c r="C2622" i="9"/>
  <c r="C2618" i="9" s="1"/>
  <c r="C2617" i="9" s="1"/>
  <c r="C76" i="9" s="1"/>
  <c r="E3332" i="9"/>
  <c r="F3335" i="9"/>
  <c r="E3338" i="9"/>
  <c r="F3341" i="9"/>
  <c r="C3326" i="9"/>
  <c r="C3322" i="9" s="1"/>
  <c r="C3321" i="9" s="1"/>
  <c r="C100" i="9" s="1"/>
  <c r="F3329" i="9"/>
  <c r="F3270" i="9"/>
  <c r="F3268" i="9"/>
  <c r="F3258" i="9"/>
  <c r="F3262" i="9"/>
  <c r="F3260" i="9"/>
  <c r="F3248" i="9"/>
  <c r="F3154" i="9"/>
  <c r="F3156" i="9"/>
  <c r="F3206" i="9"/>
  <c r="F3204" i="9"/>
  <c r="F3202" i="9"/>
  <c r="F3200" i="9"/>
  <c r="F3198" i="9"/>
  <c r="F3210" i="9"/>
  <c r="F3208" i="9"/>
  <c r="E3173" i="9"/>
  <c r="F3034" i="9"/>
  <c r="F3036" i="9"/>
  <c r="F3032" i="9"/>
  <c r="F3044" i="9"/>
  <c r="F3028" i="9"/>
  <c r="F3030" i="9"/>
  <c r="E3023" i="9"/>
  <c r="F3048" i="9"/>
  <c r="C3145" i="9"/>
  <c r="C3125" i="9"/>
  <c r="C94" i="9" s="1"/>
  <c r="C3098" i="9"/>
  <c r="C3094" i="9" s="1"/>
  <c r="C3093" i="9" s="1"/>
  <c r="C92" i="9" s="1"/>
  <c r="C3140" i="9"/>
  <c r="C3139" i="9"/>
  <c r="C3088" i="9"/>
  <c r="C3085" i="9"/>
  <c r="C3084" i="9"/>
  <c r="C3078" i="9"/>
  <c r="C3079" i="9" s="1"/>
  <c r="C3080" i="9" s="1"/>
  <c r="C3089" i="9"/>
  <c r="C3092" i="9"/>
  <c r="F3008" i="9"/>
  <c r="E3039" i="9"/>
  <c r="F3056" i="9"/>
  <c r="F3050" i="9"/>
  <c r="F3054" i="9"/>
  <c r="F3052" i="9"/>
  <c r="F3046" i="9"/>
  <c r="F2563" i="9"/>
  <c r="F2565" i="9"/>
  <c r="C2968" i="9"/>
  <c r="C2967" i="9" s="1"/>
  <c r="C86" i="9" s="1"/>
  <c r="C2824" i="9"/>
  <c r="C2823" i="9" s="1"/>
  <c r="C82" i="9" s="1"/>
  <c r="F2911" i="9"/>
  <c r="F2913" i="9"/>
  <c r="F2931" i="9"/>
  <c r="F2929" i="9"/>
  <c r="F2921" i="9"/>
  <c r="C2902" i="9"/>
  <c r="C2901" i="9" s="1"/>
  <c r="C84" i="9" s="1"/>
  <c r="C2894" i="9"/>
  <c r="C2895" i="9"/>
  <c r="C2889" i="9"/>
  <c r="C2888" i="9"/>
  <c r="C2880" i="9"/>
  <c r="C2881" i="9" s="1"/>
  <c r="C2882" i="9" s="1"/>
  <c r="C2900" i="9"/>
  <c r="F2780" i="9"/>
  <c r="F2782" i="9"/>
  <c r="F2790" i="9"/>
  <c r="F2788" i="9"/>
  <c r="E2793" i="9"/>
  <c r="F2873" i="9"/>
  <c r="F2867" i="9"/>
  <c r="F2875" i="9"/>
  <c r="F2869" i="9"/>
  <c r="F2871" i="9"/>
  <c r="F2800" i="9"/>
  <c r="F2804" i="9"/>
  <c r="F2837" i="9"/>
  <c r="F2839" i="9"/>
  <c r="F2833" i="9"/>
  <c r="F2841" i="9"/>
  <c r="F2843" i="9"/>
  <c r="F2835" i="9"/>
  <c r="F2851" i="9"/>
  <c r="F2853" i="9"/>
  <c r="F2855" i="9"/>
  <c r="F2859" i="9"/>
  <c r="F2857" i="9"/>
  <c r="F2802" i="9"/>
  <c r="C2771" i="9"/>
  <c r="C2792" i="9" s="1"/>
  <c r="E2748" i="9"/>
  <c r="F2745" i="9"/>
  <c r="F2753" i="9"/>
  <c r="F2743" i="9"/>
  <c r="C2736" i="9"/>
  <c r="C2732" i="9" s="1"/>
  <c r="C2758" i="9" s="1"/>
  <c r="F2786" i="9"/>
  <c r="F2784" i="9"/>
  <c r="E2758" i="9"/>
  <c r="F2765" i="9"/>
  <c r="F2820" i="9"/>
  <c r="F2816" i="9"/>
  <c r="F2814" i="9"/>
  <c r="F2818" i="9"/>
  <c r="E2807" i="9"/>
  <c r="F2767" i="9"/>
  <c r="C2714" i="9"/>
  <c r="C79" i="9" s="1"/>
  <c r="C2730" i="9"/>
  <c r="C2727" i="9"/>
  <c r="C2716" i="9"/>
  <c r="C2717" i="9" s="1"/>
  <c r="C2718" i="9" s="1"/>
  <c r="C2726" i="9"/>
  <c r="C2723" i="9"/>
  <c r="C2722" i="9"/>
  <c r="C2530" i="9"/>
  <c r="C2517" i="9"/>
  <c r="C2522" i="9"/>
  <c r="C2506" i="9"/>
  <c r="C2507" i="9" s="1"/>
  <c r="C2508" i="9" s="1"/>
  <c r="C2516" i="9"/>
  <c r="C2504" i="9"/>
  <c r="C73" i="9" s="1"/>
  <c r="C2394" i="9"/>
  <c r="C2398" i="9"/>
  <c r="C2393" i="9"/>
  <c r="C2397" i="9"/>
  <c r="C2385" i="9"/>
  <c r="C65" i="9" s="1"/>
  <c r="C2401" i="9"/>
  <c r="C2379" i="9"/>
  <c r="C2384" i="9"/>
  <c r="C2362" i="9"/>
  <c r="C2363" i="9" s="1"/>
  <c r="C2364" i="9" s="1"/>
  <c r="C2371" i="9"/>
  <c r="C2360" i="9"/>
  <c r="C64" i="9" s="1"/>
  <c r="C2370" i="9"/>
  <c r="C2346" i="9"/>
  <c r="C2354" i="9"/>
  <c r="C2345" i="9"/>
  <c r="C2353" i="9"/>
  <c r="C2359" i="9"/>
  <c r="C2337" i="9"/>
  <c r="C2338" i="9" s="1"/>
  <c r="C2339" i="9" s="1"/>
  <c r="C2330" i="9"/>
  <c r="C2331" i="9"/>
  <c r="C2318" i="9"/>
  <c r="C62" i="9" s="1"/>
  <c r="C2327" i="9"/>
  <c r="C2326" i="9"/>
  <c r="C2320" i="9"/>
  <c r="C2321" i="9" s="1"/>
  <c r="C2322" i="9" s="1"/>
  <c r="C983" i="9"/>
  <c r="G990" i="9"/>
  <c r="C5799" i="9" l="1"/>
  <c r="C5798" i="9" s="1"/>
  <c r="C5816" i="9" s="1"/>
  <c r="C223" i="9"/>
  <c r="C225" i="9"/>
  <c r="C5815" i="9"/>
  <c r="C5812" i="9"/>
  <c r="C5801" i="9"/>
  <c r="C5802" i="9" s="1"/>
  <c r="C5803" i="9" s="1"/>
  <c r="C5811" i="9"/>
  <c r="C5808" i="9"/>
  <c r="C5807" i="9"/>
  <c r="C5587" i="9"/>
  <c r="C5597" i="9"/>
  <c r="C5588" i="9"/>
  <c r="C5569" i="9"/>
  <c r="C5570" i="9" s="1"/>
  <c r="C5571" i="9" s="1"/>
  <c r="C5613" i="9"/>
  <c r="C5598" i="9"/>
  <c r="C5505" i="9"/>
  <c r="C5506" i="9" s="1"/>
  <c r="C5434" i="9"/>
  <c r="C204" i="9" s="1"/>
  <c r="C5444" i="9"/>
  <c r="C5436" i="9"/>
  <c r="C5437" i="9" s="1"/>
  <c r="C5438" i="9" s="1"/>
  <c r="C5445" i="9"/>
  <c r="C5449" i="9"/>
  <c r="C5454" i="9"/>
  <c r="C5448" i="9"/>
  <c r="C5290" i="9"/>
  <c r="C5289" i="9"/>
  <c r="C5288" i="9"/>
  <c r="C5287" i="9"/>
  <c r="C5293" i="9"/>
  <c r="C5279" i="9"/>
  <c r="C196" i="9" s="1"/>
  <c r="C4299" i="9"/>
  <c r="C4283" i="9"/>
  <c r="C4263" i="9"/>
  <c r="C4264" i="9" s="1"/>
  <c r="C4265" i="9" s="1"/>
  <c r="C4315" i="9"/>
  <c r="C4284" i="9"/>
  <c r="C4300" i="9"/>
  <c r="C4371" i="9"/>
  <c r="C4349" i="9"/>
  <c r="C153" i="9" s="1"/>
  <c r="C4362" i="9"/>
  <c r="C4361" i="9"/>
  <c r="C4365" i="9"/>
  <c r="C4351" i="9"/>
  <c r="C4352" i="9" s="1"/>
  <c r="C4353" i="9" s="1"/>
  <c r="C4366" i="9"/>
  <c r="C3773" i="9"/>
  <c r="C3765" i="9"/>
  <c r="C3830" i="9"/>
  <c r="C3816" i="9"/>
  <c r="C3817" i="9" s="1"/>
  <c r="C3823" i="9"/>
  <c r="C3822" i="9"/>
  <c r="C3827" i="9"/>
  <c r="C3826" i="9"/>
  <c r="C3759" i="9"/>
  <c r="C3760" i="9" s="1"/>
  <c r="C3761" i="9" s="1"/>
  <c r="C3770" i="9"/>
  <c r="C3757" i="9"/>
  <c r="C120" i="9" s="1"/>
  <c r="C3769" i="9"/>
  <c r="C2635" i="9"/>
  <c r="C2643" i="9"/>
  <c r="C2619" i="9"/>
  <c r="C2620" i="9" s="1"/>
  <c r="C2621" i="9" s="1"/>
  <c r="C2629" i="9"/>
  <c r="C2636" i="9"/>
  <c r="C2630" i="9"/>
  <c r="C3109" i="9"/>
  <c r="C3106" i="9"/>
  <c r="C3095" i="9"/>
  <c r="C3105" i="9"/>
  <c r="C3101" i="9"/>
  <c r="C3102" i="9"/>
  <c r="C2983" i="9"/>
  <c r="C2976" i="9"/>
  <c r="C2980" i="9"/>
  <c r="C2975" i="9"/>
  <c r="C2979" i="9"/>
  <c r="C2969" i="9"/>
  <c r="C2970" i="9" s="1"/>
  <c r="C2971" i="9" s="1"/>
  <c r="C2861" i="9"/>
  <c r="C2845" i="9"/>
  <c r="C2862" i="9"/>
  <c r="C2846" i="9"/>
  <c r="C2825" i="9"/>
  <c r="C2826" i="9" s="1"/>
  <c r="C2827" i="9" s="1"/>
  <c r="C2877" i="9"/>
  <c r="C2933" i="9"/>
  <c r="C2923" i="9"/>
  <c r="C2903" i="9"/>
  <c r="C2904" i="9" s="1"/>
  <c r="C2905" i="9" s="1"/>
  <c r="C2916" i="9"/>
  <c r="C2924" i="9"/>
  <c r="C2915" i="9"/>
  <c r="C2731" i="9"/>
  <c r="C80" i="9" s="1"/>
  <c r="C2769" i="9"/>
  <c r="C2770" i="9"/>
  <c r="C81" i="9" s="1"/>
  <c r="C2757" i="9"/>
  <c r="C2772" i="9"/>
  <c r="C2773" i="9" s="1"/>
  <c r="C2774" i="9" s="1"/>
  <c r="C2733" i="9"/>
  <c r="C2734" i="9" s="1"/>
  <c r="C2735" i="9" s="1"/>
  <c r="C2748" i="9"/>
  <c r="C2807" i="9"/>
  <c r="C2747" i="9"/>
  <c r="C2806" i="9"/>
  <c r="C2793" i="9"/>
  <c r="C2822" i="9"/>
  <c r="C984" i="9"/>
  <c r="E5947" i="9"/>
  <c r="C5149" i="9" s="1"/>
  <c r="G778" i="9"/>
  <c r="G777" i="9"/>
  <c r="F996" i="9"/>
  <c r="F999" i="9"/>
  <c r="F1062" i="9"/>
  <c r="F1002" i="9"/>
  <c r="F1048" i="9"/>
  <c r="F1007" i="9"/>
  <c r="G775" i="9"/>
  <c r="G779" i="9"/>
  <c r="G776" i="9"/>
  <c r="C3818" i="9" l="1"/>
  <c r="C5150" i="9"/>
  <c r="F5153" i="9" s="1"/>
  <c r="E5876" i="9"/>
  <c r="C5020" i="9"/>
  <c r="C3096" i="9"/>
  <c r="C3097" i="9" s="1"/>
  <c r="C3119" i="9"/>
  <c r="C3118" i="9"/>
  <c r="G1109" i="9"/>
  <c r="G1106" i="9"/>
  <c r="G1108" i="9"/>
  <c r="G1107" i="9"/>
  <c r="G1105" i="9"/>
  <c r="G1133" i="9"/>
  <c r="C5349" i="9" l="1"/>
  <c r="C5134" i="9"/>
  <c r="C5133" i="9" s="1"/>
  <c r="C185" i="9" s="1"/>
  <c r="E5148" i="9"/>
  <c r="F5151" i="9"/>
  <c r="F5155" i="9"/>
  <c r="C5021" i="9"/>
  <c r="F5024" i="9" s="1"/>
  <c r="G1132" i="9"/>
  <c r="G1134" i="9"/>
  <c r="G833" i="9"/>
  <c r="G831" i="9"/>
  <c r="E5343" i="9" l="1"/>
  <c r="C5331" i="9"/>
  <c r="C5330" i="9" s="1"/>
  <c r="C200" i="9" s="1"/>
  <c r="C5147" i="9"/>
  <c r="C5158" i="9"/>
  <c r="C5135" i="9"/>
  <c r="C5136" i="9" s="1"/>
  <c r="C5137" i="9" s="1"/>
  <c r="C5148" i="9"/>
  <c r="C5165" i="9"/>
  <c r="C5157" i="9"/>
  <c r="F5022" i="9"/>
  <c r="E5019" i="9"/>
  <c r="C5007" i="9"/>
  <c r="G832" i="9"/>
  <c r="G835" i="9"/>
  <c r="G834" i="9"/>
  <c r="G1111" i="9"/>
  <c r="C5358" i="9" l="1"/>
  <c r="C5332" i="9"/>
  <c r="C5333" i="9" s="1"/>
  <c r="C5334" i="9" s="1"/>
  <c r="C5351" i="9"/>
  <c r="C5350" i="9"/>
  <c r="C5343" i="9"/>
  <c r="C5342" i="9"/>
  <c r="C5018" i="9"/>
  <c r="C5006" i="9"/>
  <c r="C5019" i="9"/>
  <c r="C5026" i="9"/>
  <c r="C5032" i="9"/>
  <c r="C5008" i="9"/>
  <c r="C5009" i="9" s="1"/>
  <c r="C5010" i="9" s="1"/>
  <c r="C5027" i="9"/>
  <c r="G1110" i="9"/>
  <c r="G780" i="9"/>
  <c r="G781" i="9"/>
  <c r="G782" i="9"/>
  <c r="G783" i="9"/>
  <c r="G784" i="9"/>
  <c r="G785" i="9"/>
  <c r="G786" i="9"/>
  <c r="G787" i="9"/>
  <c r="C180" i="9" l="1"/>
  <c r="D5965" i="9"/>
  <c r="F806" i="9"/>
  <c r="F789" i="9"/>
  <c r="C5233" i="9" l="1"/>
  <c r="C5229" i="9" s="1"/>
  <c r="C4868" i="9"/>
  <c r="C4869" i="9" s="1"/>
  <c r="C4781" i="9"/>
  <c r="C4621" i="9"/>
  <c r="C4622" i="9" s="1"/>
  <c r="C4618" i="9" s="1"/>
  <c r="C4614" i="9" s="1"/>
  <c r="C4613" i="9" s="1"/>
  <c r="C4740" i="9"/>
  <c r="C4397" i="9"/>
  <c r="C3914" i="9"/>
  <c r="C3915" i="9" s="1"/>
  <c r="D5894" i="9"/>
  <c r="C3875" i="9"/>
  <c r="C2673" i="9"/>
  <c r="C2674" i="9" s="1"/>
  <c r="C2578" i="9"/>
  <c r="C3251" i="9"/>
  <c r="F3252" i="9" s="1"/>
  <c r="C3158" i="9"/>
  <c r="C2539" i="9"/>
  <c r="C3008" i="9"/>
  <c r="G1474" i="9"/>
  <c r="G1479" i="9"/>
  <c r="G1481" i="9"/>
  <c r="G1475" i="9"/>
  <c r="G1472" i="9"/>
  <c r="G1473" i="9"/>
  <c r="G1480" i="9"/>
  <c r="G1478" i="9"/>
  <c r="G1471" i="9"/>
  <c r="G1477" i="9"/>
  <c r="G1476" i="9"/>
  <c r="C2288" i="9"/>
  <c r="C2289" i="9"/>
  <c r="C2298" i="9"/>
  <c r="C2307" i="9"/>
  <c r="C2308" i="9"/>
  <c r="C61" i="9"/>
  <c r="C2317" i="9"/>
  <c r="C2286" i="9"/>
  <c r="C2297" i="9"/>
  <c r="C2287" i="9"/>
  <c r="C5845" i="9"/>
  <c r="C5860" i="9" s="1"/>
  <c r="F4872" i="9" l="1"/>
  <c r="F4870" i="9"/>
  <c r="C5228" i="9"/>
  <c r="C192" i="9" s="1"/>
  <c r="C5244" i="9"/>
  <c r="C5241" i="9"/>
  <c r="C5230" i="9"/>
  <c r="C5231" i="9" s="1"/>
  <c r="C5232" i="9" s="1"/>
  <c r="C5240" i="9"/>
  <c r="C5237" i="9"/>
  <c r="C5236" i="9"/>
  <c r="C4782" i="9"/>
  <c r="C4741" i="9"/>
  <c r="C4398" i="9"/>
  <c r="C164" i="9"/>
  <c r="F4625" i="9"/>
  <c r="F4627" i="9"/>
  <c r="F4623" i="9"/>
  <c r="C4653" i="9"/>
  <c r="C4615" i="9"/>
  <c r="C4616" i="9" s="1"/>
  <c r="C4617" i="9" s="1"/>
  <c r="C4642" i="9"/>
  <c r="C4641" i="9"/>
  <c r="C4630" i="9"/>
  <c r="C4629" i="9"/>
  <c r="C4557" i="9"/>
  <c r="C4553" i="9" s="1"/>
  <c r="C4552" i="9" s="1"/>
  <c r="C4325" i="9"/>
  <c r="F3916" i="9"/>
  <c r="F3918" i="9"/>
  <c r="C3876" i="9"/>
  <c r="F3879" i="9" s="1"/>
  <c r="C2579" i="9"/>
  <c r="C2573" i="9" s="1"/>
  <c r="C2569" i="9" s="1"/>
  <c r="C2568" i="9" s="1"/>
  <c r="C75" i="9" s="1"/>
  <c r="C2670" i="9"/>
  <c r="C2666" i="9" s="1"/>
  <c r="C2713" i="9" s="1"/>
  <c r="C3245" i="9"/>
  <c r="C3241" i="9" s="1"/>
  <c r="C3240" i="9" s="1"/>
  <c r="C97" i="9" s="1"/>
  <c r="C3159" i="9"/>
  <c r="F3170" i="9" s="1"/>
  <c r="C3218" i="9"/>
  <c r="C3214" i="9" s="1"/>
  <c r="C3213" i="9" s="1"/>
  <c r="C96" i="9" s="1"/>
  <c r="C3060" i="9"/>
  <c r="C3068" i="9" s="1"/>
  <c r="C3009" i="9"/>
  <c r="F3016" i="9" s="1"/>
  <c r="C2540" i="9"/>
  <c r="F2541" i="9" s="1"/>
  <c r="C5853" i="9"/>
  <c r="C5856" i="9"/>
  <c r="C5857" i="9"/>
  <c r="C5846" i="9"/>
  <c r="C5847" i="9" s="1"/>
  <c r="C5848" i="9" s="1"/>
  <c r="C5852" i="9"/>
  <c r="F2954" i="9"/>
  <c r="E2949" i="9"/>
  <c r="C2935" i="9"/>
  <c r="F4401" i="9" l="1"/>
  <c r="F4785" i="9"/>
  <c r="F4783" i="9"/>
  <c r="F4742" i="9"/>
  <c r="F4744" i="9"/>
  <c r="F4399" i="9"/>
  <c r="C161" i="9"/>
  <c r="C4574" i="9"/>
  <c r="C4554" i="9"/>
  <c r="C4555" i="9" s="1"/>
  <c r="C4556" i="9" s="1"/>
  <c r="C4569" i="9"/>
  <c r="C4568" i="9"/>
  <c r="C4563" i="9"/>
  <c r="C4562" i="9"/>
  <c r="F4326" i="9"/>
  <c r="F3877" i="9"/>
  <c r="F3168" i="9"/>
  <c r="C3151" i="9"/>
  <c r="C3147" i="9" s="1"/>
  <c r="C3146" i="9" s="1"/>
  <c r="C95" i="9" s="1"/>
  <c r="C2616" i="9"/>
  <c r="C2570" i="9"/>
  <c r="C2571" i="9" s="1"/>
  <c r="C2572" i="9" s="1"/>
  <c r="C2602" i="9"/>
  <c r="C2603" i="9"/>
  <c r="C2586" i="9"/>
  <c r="C2587" i="9"/>
  <c r="C2700" i="9"/>
  <c r="C2667" i="9"/>
  <c r="C2668" i="9" s="1"/>
  <c r="C2669" i="9" s="1"/>
  <c r="C2684" i="9"/>
  <c r="C2683" i="9"/>
  <c r="C2665" i="9"/>
  <c r="C78" i="9" s="1"/>
  <c r="C2699" i="9"/>
  <c r="F3160" i="9"/>
  <c r="F3164" i="9"/>
  <c r="C3343" i="9"/>
  <c r="C3338" i="9"/>
  <c r="C3337" i="9"/>
  <c r="C3323" i="9"/>
  <c r="C3324" i="9" s="1"/>
  <c r="C3325" i="9" s="1"/>
  <c r="C3332" i="9"/>
  <c r="C3331" i="9"/>
  <c r="C3255" i="9"/>
  <c r="C3254" i="9"/>
  <c r="C3242" i="9"/>
  <c r="C3243" i="9" s="1"/>
  <c r="C3244" i="9" s="1"/>
  <c r="C3264" i="9"/>
  <c r="C3265" i="9"/>
  <c r="C3272" i="9"/>
  <c r="F3166" i="9"/>
  <c r="F3162" i="9"/>
  <c r="C3239" i="9"/>
  <c r="C3232" i="9"/>
  <c r="C3231" i="9"/>
  <c r="C3225" i="9"/>
  <c r="C3215" i="9"/>
  <c r="C3216" i="9" s="1"/>
  <c r="C3217" i="9" s="1"/>
  <c r="C3226" i="9"/>
  <c r="C3061" i="9"/>
  <c r="C3062" i="9" s="1"/>
  <c r="C3063" i="9" s="1"/>
  <c r="C3071" i="9"/>
  <c r="C3059" i="9"/>
  <c r="C90" i="9" s="1"/>
  <c r="C3075" i="9"/>
  <c r="C3067" i="9"/>
  <c r="C3072" i="9"/>
  <c r="C3003" i="9"/>
  <c r="F3010" i="9"/>
  <c r="F3014" i="9"/>
  <c r="F3020" i="9"/>
  <c r="F3018" i="9"/>
  <c r="C2536" i="9"/>
  <c r="C2532" i="9" s="1"/>
  <c r="C2567" i="9" s="1"/>
  <c r="F3012" i="9"/>
  <c r="F2543" i="9"/>
  <c r="C2949" i="9"/>
  <c r="C2934" i="9"/>
  <c r="C2957" i="9"/>
  <c r="C2948" i="9"/>
  <c r="C2956" i="9"/>
  <c r="C2936" i="9"/>
  <c r="C2937" i="9" s="1"/>
  <c r="C2938" i="9" s="1"/>
  <c r="C2966" i="9"/>
  <c r="C3148" i="9" l="1"/>
  <c r="C3149" i="9" s="1"/>
  <c r="C3150" i="9" s="1"/>
  <c r="C3172" i="9"/>
  <c r="C3193" i="9"/>
  <c r="F3196" i="9" s="1"/>
  <c r="C3212" i="9"/>
  <c r="C3173" i="9"/>
  <c r="C3192" i="9"/>
  <c r="C2999" i="9"/>
  <c r="C3023" i="9" s="1"/>
  <c r="C2558" i="9"/>
  <c r="C2557" i="9"/>
  <c r="C2546" i="9"/>
  <c r="C2545" i="9"/>
  <c r="C2531" i="9"/>
  <c r="C74" i="9" s="1"/>
  <c r="C2533" i="9"/>
  <c r="C2534" i="9" s="1"/>
  <c r="C2535" i="9" s="1"/>
  <c r="C85" i="9"/>
  <c r="C3038" i="9" l="1"/>
  <c r="C2998" i="9"/>
  <c r="C3039" i="9"/>
  <c r="C3000" i="9"/>
  <c r="C3001" i="9" s="1"/>
  <c r="C3002" i="9" s="1"/>
  <c r="C3022" i="9"/>
  <c r="C3058" i="9"/>
  <c r="C3111" i="9"/>
  <c r="C89" i="9" l="1"/>
  <c r="C3124" i="9"/>
  <c r="C3110" i="9"/>
  <c r="C93" i="9" s="1"/>
  <c r="C3112" i="9"/>
  <c r="C3136" i="9" l="1"/>
  <c r="C3135" i="9"/>
  <c r="C3113" i="9"/>
  <c r="C3114" i="9" l="1"/>
  <c r="C3127" i="9"/>
  <c r="C3128" i="9" s="1"/>
  <c r="C3129" i="9" s="1"/>
  <c r="C3319" i="9"/>
  <c r="C3289" i="9" s="1"/>
  <c r="C3288" i="9" s="1"/>
  <c r="C99" i="9" s="1"/>
  <c r="E3311" i="9" l="1"/>
  <c r="C3290" i="9"/>
  <c r="C3291" i="9" s="1"/>
  <c r="C3292" i="9" s="1"/>
  <c r="C3320" i="9"/>
  <c r="D5967" i="9"/>
  <c r="C3879" i="9" s="1"/>
  <c r="F821" i="9"/>
  <c r="F818" i="9"/>
  <c r="F836" i="9"/>
  <c r="F826" i="9"/>
  <c r="F829" i="9"/>
  <c r="G812" i="9"/>
  <c r="G808" i="9"/>
  <c r="C4960" i="9" l="1"/>
  <c r="C4961" i="9" s="1"/>
  <c r="F4964" i="9" s="1"/>
  <c r="C4933" i="9"/>
  <c r="C4934" i="9" s="1"/>
  <c r="F4935" i="9" s="1"/>
  <c r="C5041" i="9"/>
  <c r="C5042" i="9" s="1"/>
  <c r="C5038" i="9" s="1"/>
  <c r="C5034" i="9" s="1"/>
  <c r="C5033" i="9" s="1"/>
  <c r="C181" i="9" s="1"/>
  <c r="C4872" i="9"/>
  <c r="C4873" i="9" s="1"/>
  <c r="C4865" i="9" s="1"/>
  <c r="C4861" i="9" s="1"/>
  <c r="G813" i="9"/>
  <c r="G810" i="9"/>
  <c r="G809" i="9"/>
  <c r="C4824" i="9"/>
  <c r="C4825" i="9" s="1"/>
  <c r="C4819" i="9" s="1"/>
  <c r="C4815" i="9" s="1"/>
  <c r="C3918" i="9"/>
  <c r="C3919" i="9" s="1"/>
  <c r="C3880" i="9"/>
  <c r="F3881" i="9" s="1"/>
  <c r="C4326" i="9"/>
  <c r="C4744" i="9"/>
  <c r="G811" i="9"/>
  <c r="C4401" i="9"/>
  <c r="C4785" i="9"/>
  <c r="G814" i="9"/>
  <c r="D5896" i="9"/>
  <c r="F5043" i="9" l="1"/>
  <c r="F3920" i="9"/>
  <c r="C3911" i="9"/>
  <c r="C3907" i="9" s="1"/>
  <c r="C3923" i="9" s="1"/>
  <c r="C5046" i="9"/>
  <c r="C5045" i="9"/>
  <c r="C5059" i="9"/>
  <c r="C5051" i="9"/>
  <c r="C4959" i="9"/>
  <c r="C4955" i="9" s="1"/>
  <c r="C4972" i="9" s="1"/>
  <c r="C5052" i="9"/>
  <c r="C5035" i="9"/>
  <c r="C5036" i="9" s="1"/>
  <c r="C5037" i="9" s="1"/>
  <c r="C3872" i="9"/>
  <c r="C3868" i="9" s="1"/>
  <c r="C3893" i="9" s="1"/>
  <c r="F4962" i="9"/>
  <c r="F4937" i="9"/>
  <c r="C4786" i="9"/>
  <c r="C4778" i="9" s="1"/>
  <c r="C4774" i="9" s="1"/>
  <c r="C4745" i="9"/>
  <c r="F4746" i="9" s="1"/>
  <c r="C4402" i="9"/>
  <c r="C4394" i="9" s="1"/>
  <c r="C4390" i="9" s="1"/>
  <c r="C4327" i="9"/>
  <c r="F4328" i="9" s="1"/>
  <c r="C4834" i="9"/>
  <c r="C4826" i="9"/>
  <c r="C4827" i="9"/>
  <c r="C4835" i="9"/>
  <c r="C4816" i="9"/>
  <c r="C4817" i="9" s="1"/>
  <c r="C4818" i="9" s="1"/>
  <c r="C4814" i="9"/>
  <c r="C171" i="9" s="1"/>
  <c r="C4842" i="9"/>
  <c r="C4874" i="9"/>
  <c r="C4860" i="9"/>
  <c r="C173" i="9" s="1"/>
  <c r="C4875" i="9"/>
  <c r="C4885" i="9"/>
  <c r="C4894" i="9"/>
  <c r="C4862" i="9"/>
  <c r="C4863" i="9" s="1"/>
  <c r="C4864" i="9" s="1"/>
  <c r="C4884" i="9"/>
  <c r="C4932" i="9"/>
  <c r="C4928" i="9" s="1"/>
  <c r="C3906" i="9" l="1"/>
  <c r="C128" i="9" s="1"/>
  <c r="C4321" i="9"/>
  <c r="C4317" i="9" s="1"/>
  <c r="C4330" i="9" s="1"/>
  <c r="C3908" i="9"/>
  <c r="C3909" i="9" s="1"/>
  <c r="C3910" i="9" s="1"/>
  <c r="C3944" i="9"/>
  <c r="C3922" i="9"/>
  <c r="C3933" i="9"/>
  <c r="C4967" i="9"/>
  <c r="C3932" i="9"/>
  <c r="C4966" i="9"/>
  <c r="C4956" i="9"/>
  <c r="C4957" i="9" s="1"/>
  <c r="C4958" i="9" s="1"/>
  <c r="C4737" i="9"/>
  <c r="C4733" i="9" s="1"/>
  <c r="C4760" i="9" s="1"/>
  <c r="C4973" i="9"/>
  <c r="C4980" i="9"/>
  <c r="C3905" i="9"/>
  <c r="C4954" i="9"/>
  <c r="C178" i="9" s="1"/>
  <c r="C3867" i="9"/>
  <c r="C127" i="9" s="1"/>
  <c r="C3894" i="9"/>
  <c r="C3869" i="9"/>
  <c r="C3870" i="9" s="1"/>
  <c r="C3871" i="9" s="1"/>
  <c r="C3883" i="9"/>
  <c r="C3884" i="9"/>
  <c r="F4403" i="9"/>
  <c r="C4790" i="9"/>
  <c r="C4773" i="9"/>
  <c r="C170" i="9" s="1"/>
  <c r="C4775" i="9"/>
  <c r="C4776" i="9" s="1"/>
  <c r="C4777" i="9" s="1"/>
  <c r="C4789" i="9"/>
  <c r="C4801" i="9"/>
  <c r="C4813" i="9"/>
  <c r="C4802" i="9"/>
  <c r="C4927" i="9"/>
  <c r="C177" i="9" s="1"/>
  <c r="C4953" i="9"/>
  <c r="C4940" i="9"/>
  <c r="C4945" i="9"/>
  <c r="C4929" i="9"/>
  <c r="C4930" i="9" s="1"/>
  <c r="C4931" i="9" s="1"/>
  <c r="C4939" i="9"/>
  <c r="C4946" i="9"/>
  <c r="C4418" i="9"/>
  <c r="C4391" i="9"/>
  <c r="C4392" i="9" s="1"/>
  <c r="C4393" i="9" s="1"/>
  <c r="C4417" i="9"/>
  <c r="C4389" i="9"/>
  <c r="C155" i="9" s="1"/>
  <c r="C4429" i="9"/>
  <c r="C4406" i="9"/>
  <c r="C4405" i="9"/>
  <c r="F4787" i="9"/>
  <c r="C4331" i="9" l="1"/>
  <c r="C4316" i="9"/>
  <c r="C152" i="9" s="1"/>
  <c r="C4341" i="9"/>
  <c r="C4318" i="9"/>
  <c r="C4319" i="9" s="1"/>
  <c r="C4320" i="9" s="1"/>
  <c r="C4348" i="9"/>
  <c r="C4340" i="9"/>
  <c r="C4748" i="9"/>
  <c r="C4749" i="9"/>
  <c r="C4772" i="9"/>
  <c r="C4734" i="9"/>
  <c r="C4735" i="9" s="1"/>
  <c r="C4736" i="9" s="1"/>
  <c r="C4761" i="9"/>
  <c r="C4732" i="9"/>
  <c r="C169" i="9" s="1"/>
  <c r="C17" i="9"/>
  <c r="C626" i="9" s="1"/>
  <c r="C471" i="9"/>
  <c r="C472" i="9"/>
  <c r="C468" i="9"/>
  <c r="C489" i="9"/>
  <c r="C469" i="9"/>
  <c r="C483" i="9"/>
  <c r="C473" i="9"/>
  <c r="C479" i="9"/>
  <c r="C480" i="9"/>
  <c r="C470" i="9"/>
</calcChain>
</file>

<file path=xl/sharedStrings.xml><?xml version="1.0" encoding="utf-8"?>
<sst xmlns="http://schemas.openxmlformats.org/spreadsheetml/2006/main" count="14141" uniqueCount="3508">
  <si>
    <t>Project Type</t>
  </si>
  <si>
    <t>New Construction</t>
  </si>
  <si>
    <t>Substantial Rehab</t>
  </si>
  <si>
    <t>Moderate Rehab</t>
  </si>
  <si>
    <t>Urban/Suburban</t>
  </si>
  <si>
    <t>Rural/Tribal/Small Town</t>
  </si>
  <si>
    <t>Building Vintage</t>
  </si>
  <si>
    <t>Pre-1978</t>
  </si>
  <si>
    <t>1978-1985</t>
  </si>
  <si>
    <t>1986 or later</t>
  </si>
  <si>
    <t>Building Type</t>
  </si>
  <si>
    <t>Single Family</t>
  </si>
  <si>
    <t>Mulitfamily 3 stories or fewer</t>
  </si>
  <si>
    <t>Multifamily 4-9 stories</t>
  </si>
  <si>
    <t>Multifamily 10 or more stories</t>
  </si>
  <si>
    <t>Climate Zone</t>
  </si>
  <si>
    <t>1A</t>
  </si>
  <si>
    <t>2A</t>
  </si>
  <si>
    <t>2B</t>
  </si>
  <si>
    <t>3A</t>
  </si>
  <si>
    <t>3B</t>
  </si>
  <si>
    <t>3C</t>
  </si>
  <si>
    <t>4A</t>
  </si>
  <si>
    <t>4B</t>
  </si>
  <si>
    <t>4C</t>
  </si>
  <si>
    <t>5A</t>
  </si>
  <si>
    <t>5B</t>
  </si>
  <si>
    <t>5C</t>
  </si>
  <si>
    <t>6A</t>
  </si>
  <si>
    <t>6B</t>
  </si>
  <si>
    <t>7</t>
  </si>
  <si>
    <t>8</t>
  </si>
  <si>
    <t>EPA Radon Zone</t>
  </si>
  <si>
    <t>Zone 1</t>
  </si>
  <si>
    <t>Zone 2</t>
  </si>
  <si>
    <t>Zone 3</t>
  </si>
  <si>
    <t>2.1 Ecological Conservation and Safer Sites (1)</t>
  </si>
  <si>
    <t>2.1 Ecological Conservation and Safer Sites (2)</t>
  </si>
  <si>
    <t>No aquatic ecosystems within development site</t>
  </si>
  <si>
    <t>Aquatic ecosystems within development site</t>
  </si>
  <si>
    <t>Site includes threatened or endangered plant/animal habitat</t>
  </si>
  <si>
    <t>Site does not include threatened or endangered plant/animal habitat</t>
  </si>
  <si>
    <t>2.9 Access to Broadband (1)</t>
  </si>
  <si>
    <t>100/20 fixed broadband is available to the parcel</t>
  </si>
  <si>
    <t>100/20 fixed broadband is not available to the parcel</t>
  </si>
  <si>
    <t>2.9 Access to Broadband (2)</t>
  </si>
  <si>
    <t>No optional points claimed</t>
  </si>
  <si>
    <t>Broadband provided to each common space and residential unit</t>
  </si>
  <si>
    <t>3.1 Minimization of Disturbance During Staging and Construction</t>
  </si>
  <si>
    <t>Site area 1 acre or smaller</t>
  </si>
  <si>
    <t>Site area greater than 1 acre</t>
  </si>
  <si>
    <t>3.3 Exterior Lighting (1)</t>
  </si>
  <si>
    <t>Scope does not include exterior lighting</t>
  </si>
  <si>
    <t>Scope includes exterior lighting and project is not claiming optional points</t>
  </si>
  <si>
    <t>3.3 Exterior Lighting (2)</t>
  </si>
  <si>
    <t>Project located in LZ0: No ambient lighting</t>
  </si>
  <si>
    <t>Project located in LZ1: Low ambient lighting</t>
  </si>
  <si>
    <t>Project located in LZ2: Moderate ambient lighting</t>
  </si>
  <si>
    <t>Project located in LZ3: Moderately high ambient lighting</t>
  </si>
  <si>
    <t>Project located in LZ4: High ambient lighting</t>
  </si>
  <si>
    <t>3.5 Outdoor Water Use: Efficient Irrigation</t>
  </si>
  <si>
    <t>No irrigation system (temporary or permanent)</t>
  </si>
  <si>
    <t>Efficient irrigation (no optional points claimed)</t>
  </si>
  <si>
    <t>Efficient irrigation with smart controllers</t>
  </si>
  <si>
    <t>Efficient irrigation with drip system</t>
  </si>
  <si>
    <t>3.6 Outdoor Water Use: Alternative Sources</t>
  </si>
  <si>
    <t>No points claimed for Outdoor Water Use: Alternative Sources</t>
  </si>
  <si>
    <t>Nonpotable water sources for 25% of demand</t>
  </si>
  <si>
    <t>3.7 Traffic Safety and Mobility</t>
  </si>
  <si>
    <t>3.8 Heat-Island Management (Option 1)</t>
  </si>
  <si>
    <t>Option 1 not used.</t>
  </si>
  <si>
    <t>3.8 Heat-Island Management (Option 2)</t>
  </si>
  <si>
    <t>Option 2 not used.</t>
  </si>
  <si>
    <t>3.9 Resilient Site Design: Wind (Option 1 - Multifamily)</t>
  </si>
  <si>
    <t>FORTIFIED Multifamily Roof</t>
  </si>
  <si>
    <t>FORTIFIED Multifamily Silver</t>
  </si>
  <si>
    <t>FORTIFIED Multifamily Gold</t>
  </si>
  <si>
    <t>FORTIFIED Multifamily Roof + Hail Supplement</t>
  </si>
  <si>
    <t>FORTIFIED Multifamily Silver + Hail Supplement</t>
  </si>
  <si>
    <t>FORTIFIED Multifamily Gold + Hail Supplement</t>
  </si>
  <si>
    <t>3.9 Resilient Site Design: Wind (Option 1 - Single Family)</t>
  </si>
  <si>
    <t>FORTIFIED Home Roof</t>
  </si>
  <si>
    <t>FORTIFIED Home Silver</t>
  </si>
  <si>
    <t>FORTIFIED Home Gold</t>
  </si>
  <si>
    <t>FORTIFIED Home Roof + Hail Supplement</t>
  </si>
  <si>
    <t>FORTIFIED Home Silver + Hail Supplement</t>
  </si>
  <si>
    <t>FORTIFIED Home Gold + Hail Supplement</t>
  </si>
  <si>
    <t>3.9 Resilient Site Design: Wind (Option 2)</t>
  </si>
  <si>
    <t>3.10 Resilient Site Design: Flood</t>
  </si>
  <si>
    <t>Option 1: ASCE 24-24</t>
  </si>
  <si>
    <t>Option 2: HUD one-pagers for water</t>
  </si>
  <si>
    <t>Option 3: Floodproofing of critical services</t>
  </si>
  <si>
    <t>3.11 Resilient Site Design: Wildfire</t>
  </si>
  <si>
    <t>Filter</t>
  </si>
  <si>
    <t>1. Integrative Design</t>
  </si>
  <si>
    <t>2. Location and Neighborhood Fabric</t>
  </si>
  <si>
    <t>E</t>
  </si>
  <si>
    <t>3. Site Design</t>
  </si>
  <si>
    <t>3.4 Surface Stormwater Management</t>
  </si>
  <si>
    <t>S</t>
  </si>
  <si>
    <t>Show for MF only</t>
  </si>
  <si>
    <t>Show for SF only</t>
  </si>
  <si>
    <t>4. Water</t>
  </si>
  <si>
    <t>4.2 Advanced Water Conservation</t>
  </si>
  <si>
    <t>4.4 Monitoring Water Consumption and Leaks</t>
  </si>
  <si>
    <t>4.5 Efficient Plumbing Layout and Design</t>
  </si>
  <si>
    <t>4.6 Indoor Water Efficiency: Nonpotable Water Reuse</t>
  </si>
  <si>
    <t>4.7 Access to Potable Water During Emergencies</t>
  </si>
  <si>
    <t>5. Energy</t>
  </si>
  <si>
    <t>6. Materials</t>
  </si>
  <si>
    <t>6.2 Reduction of Materials and Waste</t>
  </si>
  <si>
    <t>6.4 Advanced Material Selection</t>
  </si>
  <si>
    <t>7. Healthy Living Environment</t>
  </si>
  <si>
    <t>7.13 Personal and Social Safety</t>
  </si>
  <si>
    <t>7.14 Social Connection and Accessibility: Design for All Ages and Abilities</t>
  </si>
  <si>
    <t>8. Operations, Maintenance and Resident Engagement</t>
  </si>
  <si>
    <t>Always show</t>
  </si>
  <si>
    <t>Part 1 - General</t>
  </si>
  <si>
    <t>Summary</t>
  </si>
  <si>
    <t>A.</t>
  </si>
  <si>
    <t>Section Includes:</t>
  </si>
  <si>
    <t>1.</t>
  </si>
  <si>
    <r>
      <rPr>
        <sz val="7"/>
        <color theme="1"/>
        <rFont val="Calibri"/>
        <family val="2"/>
        <scheme val="minor"/>
      </rPr>
      <t xml:space="preserve"> </t>
    </r>
    <r>
      <rPr>
        <sz val="11"/>
        <color theme="1"/>
        <rFont val="Calibri"/>
        <family val="2"/>
        <scheme val="minor"/>
      </rPr>
      <t xml:space="preserve">Summary of sustainable building requirements for project as necessary for certification of this project through the 2026 Criteria. </t>
    </r>
  </si>
  <si>
    <t>2.</t>
  </si>
  <si>
    <t xml:space="preserve">Related performance and administrative requirements. </t>
  </si>
  <si>
    <t>B.</t>
  </si>
  <si>
    <t>3.</t>
  </si>
  <si>
    <t>4.</t>
  </si>
  <si>
    <t>References</t>
  </si>
  <si>
    <t>Coordination</t>
  </si>
  <si>
    <t xml:space="preserve">Coordinate framers, plumbers, HVAC, insulators, and drywall trades to minimize uncontrolled air leakage pathways between residential units by sealing all penetrations in walls, ceilings, and floors in the units and by sealing all vertical chases adjacent to the units.  </t>
  </si>
  <si>
    <t>Submittals</t>
  </si>
  <si>
    <t>Location and Neighborhood Fabric</t>
  </si>
  <si>
    <t>a.</t>
  </si>
  <si>
    <t>b.</t>
  </si>
  <si>
    <t>c.</t>
  </si>
  <si>
    <t>Site Design</t>
  </si>
  <si>
    <t>Submit product data for all exterior lighting fixtures and luminaries, documenting lumens and Backlight, Uplight, and Glare (BUG) ratings.</t>
  </si>
  <si>
    <t>Submit product data for all lighting controls.</t>
  </si>
  <si>
    <t>HIDE all of 3.5 if no irrigation or no landscaping</t>
  </si>
  <si>
    <t>5.</t>
  </si>
  <si>
    <t>Submit product data (including cut sheets, control sequence and instructions, operations and maintenance data, and warranty information) for drip irrigation system.</t>
  </si>
  <si>
    <t>Submit product data (including cut sheets, control sequence and instructions, operations and maintenance data, and warranty information) for smart irrigation controllers programmed and commissioned by a Certified Irrigation Auditor.</t>
  </si>
  <si>
    <t>SHOW 3.6 items only if claiming optional points for this criteria</t>
  </si>
  <si>
    <t>6.</t>
  </si>
  <si>
    <t>SHOW if curbless street selected</t>
  </si>
  <si>
    <t>If paving patterns are used to delineate pedestrian-only space, submit photo documentation showing installed pattern or texture differentiation between pedestrian and vehicular space.</t>
  </si>
  <si>
    <t>SHOW if Roadway-adjacent sidewalk selected</t>
  </si>
  <si>
    <t>SHOW section if new construction or substantial rehab. HIDE whole section if moderate rehab and NOT selected for optional points.</t>
  </si>
  <si>
    <t>3.8 Heat-Island Management</t>
  </si>
  <si>
    <t>SHOW if OPTION 2 and SR 0.33 paving is selected</t>
  </si>
  <si>
    <t>SHOW if Option 2 AND open-grid paving is selected</t>
  </si>
  <si>
    <t>SHOW only if option 1 or option 2 are selected for points.</t>
  </si>
  <si>
    <t>3.9 Resilient Site Design: Wind</t>
  </si>
  <si>
    <t>SHOW only MF AND only if option 1/Roof, silver, or gold is selected for points</t>
  </si>
  <si>
    <t>SHOW if MF and option 1/silver or gold selected</t>
  </si>
  <si>
    <t>SHOW if MF and option 1/gold selected</t>
  </si>
  <si>
    <t>SHOW only MF and only if hail is selected for points</t>
  </si>
  <si>
    <t>C.</t>
  </si>
  <si>
    <t>D.</t>
  </si>
  <si>
    <t>P</t>
  </si>
  <si>
    <t>Product Requirements</t>
  </si>
  <si>
    <r>
      <t>All landscape plantings, including</t>
    </r>
    <r>
      <rPr>
        <sz val="11"/>
        <color theme="1"/>
        <rFont val="Calibri"/>
        <family val="2"/>
        <scheme val="minor"/>
      </rPr>
      <t xml:space="preserve"> trees, shrubs, and herbaceous plants, must be native or climate-appropriate (adapted) to the region. </t>
    </r>
  </si>
  <si>
    <t>All exterior lighting fixtures do not have sag or drop lenses, side light panels, or uplight panels.</t>
  </si>
  <si>
    <t>All exterior lighting fixtures meet Backlight, Uplight, and Glare (BUG) ratings, U and G selected based on planned installation height and surrounding architectural features (see Execution):</t>
  </si>
  <si>
    <t>Show for lighting zone 0 only</t>
  </si>
  <si>
    <t>B0 or B1; U0; G0</t>
  </si>
  <si>
    <t>Show for lighting zone 1 only</t>
  </si>
  <si>
    <t>B0 - B3; U0 or U1; G0 or G1</t>
  </si>
  <si>
    <t>Show for LZ 2 only</t>
  </si>
  <si>
    <t>B0 - B4; U0 - U2; G0 - G2</t>
  </si>
  <si>
    <t>Show for LZ 3 only</t>
  </si>
  <si>
    <t>B0 - B5; U0 - U3; G0 - G3</t>
  </si>
  <si>
    <t>Show for LZ 4 only</t>
  </si>
  <si>
    <t>B0 - B5; U0 - U4; G0 - G4</t>
  </si>
  <si>
    <t>All exterior lighting has photo or motion sensors, integrative PV cells, or astronomic time-clock operation.</t>
  </si>
  <si>
    <t>HIDE 3.5 if no landscaping or no irrigation</t>
  </si>
  <si>
    <t>Automated irrigation controllers are WaterSense certified and respond to weather data or soil moisture.</t>
  </si>
  <si>
    <t>HIDE if no smart irrigation claimed for points</t>
  </si>
  <si>
    <t>Smart irrigation controllers programmed and commissioned by a Certified Irrigation Auditor.</t>
  </si>
  <si>
    <t>Show ONLY if hazard-adjacent play space selected</t>
  </si>
  <si>
    <t>Child-safe gate or fence for recreation areas allows visibility between enclosed and unenclosed area.</t>
  </si>
  <si>
    <t>Solar reflectance of paving materials at least 0.33.</t>
  </si>
  <si>
    <t>Paving system classified as open-grid.</t>
  </si>
  <si>
    <t>All products comply with FORTIFIED Multifamily requirements, including continuous roof covers, roof deck fasteners, flashing, drip-edge, coping, counter-flashing, wood nailers, gutters, roof deck materials, roof deck attachments, underlayments, ridge vents, skylights, roof-mounted equipment and lighting protection systems, and safety rails.</t>
  </si>
  <si>
    <t xml:space="preserve">All wall systems, gable ends, windows, curtain walls, and doors meet impact-resistance and pressure ratings required by the FORTIFIED Multifamily requirements as applicable in hurricane-prone and high-wind-prone regions. </t>
  </si>
  <si>
    <t>Rooftop PV systems are FM Approved for hail or meet FM Approval Standard 4476 that includes a Severe Hail rating (flexible PV modules) or FM Approval Standard 4478 that includes a Class 4 rating (rigid PV modules).</t>
  </si>
  <si>
    <t>Part 3 - Execution</t>
  </si>
  <si>
    <t xml:space="preserve">Install broadband conduit from property line at the expected broadband access point to the utility room. </t>
  </si>
  <si>
    <t xml:space="preserve">Install broadband conduit from the utility room through risers and/or other infrastructure that leads to the expected network termination points, to at least: </t>
  </si>
  <si>
    <t>Install broadband internet service with at least a speed of 100 megabits per section for downloading and 20 megabits per second for uploading to each common space and residential unit.</t>
  </si>
  <si>
    <t>Photograph all erosion and sedimentation control measures used throughout construction, including representative photos during rain events (as applicable) to document no visible off-site discharge.</t>
  </si>
  <si>
    <t xml:space="preserve">All B1 - rated fixtures:
- Minimum distance to property line: 1 mounting height
- If installed less than 2 mounting heights from the property line, must be mounted with backlight portion of light output oriented perpendicular and towards the property line. 
All B0 - rated fixtures: 
- If installed 1 or fewer mounting heights to property line, must be mounted with backlight portion of light output oriented perpendicular and towards the property line. </t>
  </si>
  <si>
    <t xml:space="preserve">All B3 - rated fixtures:
- Minimum distance to property line: 2 mounting heights
All B2 - rated fixtures:
- Minimum distance to property line: 1 mounting height
- If installed less than 2 mounting heights from the property line, must be mounted with backlight portion of light output oriented perpendicular and towards the property line. 
All B1 - rated fixtures:
- Minimum distance to property line: 0.5 mounting height
- If installed less than 1 mounting height from the property line, must be mounted with backlight portion of light output oriented perpendicular and towards the property line. 
All B0 - rated fixtures: 
- If installed 0.5 or fewer mounting heights to property line, must be mounted with backlight portion of light output oriented perpendicular and towards the property line. 
All G1 - rated fixtures:
- Minimum distance to property line: 2 mounting heights, unless mounted with backlight perpendicular to property line.
</t>
  </si>
  <si>
    <t>Install surface stormwater management features in accordance with the surface stormwater management design.</t>
  </si>
  <si>
    <t>After installation, provide contractor with as-built information including zone map, control sequence, shut-off locations, commissioning or test data indicating system is operating as intended, and relevant operations or maintenance task schedules.</t>
  </si>
  <si>
    <t xml:space="preserve">Coordinate with Electrical to provide power directly to irrigation controllers.  </t>
  </si>
  <si>
    <t>SHOW only if 25% non potable system</t>
  </si>
  <si>
    <t>Install irrigation system that integrates rainwater harvesting, reclaimed water, or greywater that offsets 25% or more of total design irrigation water demand.</t>
  </si>
  <si>
    <t>SHOW only if 100% non potable system</t>
  </si>
  <si>
    <t>Install irrigation system with no sources from potable water.</t>
  </si>
  <si>
    <t>SHOW only if 100% rain water system</t>
  </si>
  <si>
    <t>Install irrigation system sourced only from rainwater.</t>
  </si>
  <si>
    <t xml:space="preserve">Only for MULTIFAMILY, only if pick-up drop-off is selected </t>
  </si>
  <si>
    <t xml:space="preserve">Install exterior signage indicating the designated pick-up/drop-off area. </t>
  </si>
  <si>
    <t>Install seating and lighting in the interior or exterior waiting area designated on the plans. If exterior, waiting area must be covered.</t>
  </si>
  <si>
    <t>Only if curbless street is selected</t>
  </si>
  <si>
    <t>Only if crossed paths is selected</t>
  </si>
  <si>
    <t>Where bike lanes cross pedestrian paths, mark pavement and/or install signage indicating cyclists must yield to pedestrians.</t>
  </si>
  <si>
    <t xml:space="preserve">Mark pavement at the edge of any intersection between a driveway and a sidewalk or bike path. Mark pavement at the edge of any intersection between a bike lane and a pedestrian path. </t>
  </si>
  <si>
    <t>Only if roadway is selected</t>
  </si>
  <si>
    <t>Install auditory crossing signals for all roadways adjacent to site under the developer's control.</t>
  </si>
  <si>
    <t>Create access ramps at road crossing with curbs.</t>
  </si>
  <si>
    <t>Only if Roadway-adjacent sidewalk is selected</t>
  </si>
  <si>
    <t>For all vehicular roadways adjacent to pedestrian sidewalks, install buffer zone (including street trees and/or landscaping) between sidewalk and roadway. Roadways that include on-street parking adjacent to pedestrian sidewalk are exempt.</t>
  </si>
  <si>
    <t>Show only if hazard-adjacent play space selected</t>
  </si>
  <si>
    <t>Enclose playground or outdoor recreation space with child-safe gate or fence.</t>
  </si>
  <si>
    <t>Install roof in accordance with FORTIFIED Multifamily requirements, including continuous roof covers, roof deck fasteners, flashing, drip-edge, coping, counter-flashing, wood nailers, gutters, roof deck materials, roof deck attachments, underlayments, ridge vents, skylights, roof-mounted equipment and lighting protection systems, and safety rails.</t>
  </si>
  <si>
    <t xml:space="preserve">Install wall systems, gable ends, windows, curtain walls, and doors in accordance with the FORTIFIED Multifamily requirements as applicable in hurricane-prone and high-wind-prone regions. </t>
  </si>
  <si>
    <t>Continuous load path from roof to foundation of building installed per design of the structural engineer of record.</t>
  </si>
  <si>
    <t>Structural members of cantilever overhangs anchored.</t>
  </si>
  <si>
    <t>Canopies, car ports, or any other vehicle-type drive-through structures installed with load path members and connections.</t>
  </si>
  <si>
    <t>Hail guards installed over air conditioner condenser fins, air intakes such as fans, and any other vulnerable component.</t>
  </si>
  <si>
    <t>Lighting</t>
  </si>
  <si>
    <t>01 42 00</t>
  </si>
  <si>
    <t>01 57 13</t>
  </si>
  <si>
    <t>Temporary Erosion and Sedimentation Control</t>
  </si>
  <si>
    <t>Execution</t>
  </si>
  <si>
    <t>01 74 19</t>
  </si>
  <si>
    <t>01 78 23</t>
  </si>
  <si>
    <t>01 79 00</t>
  </si>
  <si>
    <t>01 81 13</t>
  </si>
  <si>
    <t>01 91 00</t>
  </si>
  <si>
    <t>Commissioning</t>
  </si>
  <si>
    <t>02 41 16</t>
  </si>
  <si>
    <t>Structure Demolition</t>
  </si>
  <si>
    <t>02 41 19</t>
  </si>
  <si>
    <t>02 83 00</t>
  </si>
  <si>
    <t>Lead Remediation</t>
  </si>
  <si>
    <t>03 30 00</t>
  </si>
  <si>
    <t>04 20 00</t>
  </si>
  <si>
    <t>Unit Masonry</t>
  </si>
  <si>
    <t>04 22 00</t>
  </si>
  <si>
    <t>Concrete Unit Masonry</t>
  </si>
  <si>
    <t>05 10 00</t>
  </si>
  <si>
    <t>Structural Metal Framing</t>
  </si>
  <si>
    <t>05 12 00</t>
  </si>
  <si>
    <t>Structural Steel Framing</t>
  </si>
  <si>
    <t>05 21 00</t>
  </si>
  <si>
    <t>Steel Joist Framing</t>
  </si>
  <si>
    <t>Steel Decking</t>
  </si>
  <si>
    <t>05 40 00</t>
  </si>
  <si>
    <t>Cold-Formed Metal Framing</t>
  </si>
  <si>
    <t>06 10 00</t>
  </si>
  <si>
    <t>Rough Carpentry</t>
  </si>
  <si>
    <t>06 15 00</t>
  </si>
  <si>
    <t>Wood Decking</t>
  </si>
  <si>
    <t>06 16 00</t>
  </si>
  <si>
    <t>Sheathing</t>
  </si>
  <si>
    <t>06 17 53</t>
  </si>
  <si>
    <t>Shop-Fabricated Wood Trusses</t>
  </si>
  <si>
    <t>06 20 00</t>
  </si>
  <si>
    <t>Finish Carpentry</t>
  </si>
  <si>
    <t>06 43 00</t>
  </si>
  <si>
    <t>06 48 00</t>
  </si>
  <si>
    <t>Wood Frames</t>
  </si>
  <si>
    <t>07 21 00</t>
  </si>
  <si>
    <t>Thermal Insulation</t>
  </si>
  <si>
    <t>07 25 00</t>
  </si>
  <si>
    <t>Weather Barriers</t>
  </si>
  <si>
    <t>07 26 00</t>
  </si>
  <si>
    <t>Vapor Retarders</t>
  </si>
  <si>
    <t>07 27 00</t>
  </si>
  <si>
    <t>Air Barriers</t>
  </si>
  <si>
    <t>07 46 00</t>
  </si>
  <si>
    <t>Siding</t>
  </si>
  <si>
    <t>07 50 00</t>
  </si>
  <si>
    <t>07 60 00</t>
  </si>
  <si>
    <t>Joint Protection</t>
  </si>
  <si>
    <t>08 10 00</t>
  </si>
  <si>
    <t>08 50 00</t>
  </si>
  <si>
    <t>Windows</t>
  </si>
  <si>
    <t>08 71 00</t>
  </si>
  <si>
    <t>Door Hardware</t>
  </si>
  <si>
    <t>08 80 00</t>
  </si>
  <si>
    <t>Glazing</t>
  </si>
  <si>
    <t>09 20 00</t>
  </si>
  <si>
    <t>Plaster and Gypsum Board</t>
  </si>
  <si>
    <t>Backing Boards and Underlayments</t>
  </si>
  <si>
    <t>09 28 13</t>
  </si>
  <si>
    <t>Cementitious Backing Boards</t>
  </si>
  <si>
    <t>09 30 00</t>
  </si>
  <si>
    <t>Tiling</t>
  </si>
  <si>
    <t>09 60 00</t>
  </si>
  <si>
    <t>09 68 00</t>
  </si>
  <si>
    <t>Carpeting</t>
  </si>
  <si>
    <t>09 90 00</t>
  </si>
  <si>
    <t>Painting and Coating</t>
  </si>
  <si>
    <t>10 14 00</t>
  </si>
  <si>
    <t>Signage</t>
  </si>
  <si>
    <t>11 31 00</t>
  </si>
  <si>
    <t>Residential Appliances</t>
  </si>
  <si>
    <t>12 30 00</t>
  </si>
  <si>
    <t>Casework</t>
  </si>
  <si>
    <t>14 91 82</t>
  </si>
  <si>
    <t>Trash Chutes</t>
  </si>
  <si>
    <t>22 00 00</t>
  </si>
  <si>
    <t>22 05 19</t>
  </si>
  <si>
    <t>22 07 00</t>
  </si>
  <si>
    <t>22 33 00</t>
  </si>
  <si>
    <t>22 40 00</t>
  </si>
  <si>
    <t>Plumbing Fixtures</t>
  </si>
  <si>
    <t>23 00 00</t>
  </si>
  <si>
    <t>23 05 93</t>
  </si>
  <si>
    <t>23 07 13</t>
  </si>
  <si>
    <t>Duct Insulation</t>
  </si>
  <si>
    <t>23 08 00</t>
  </si>
  <si>
    <t>Commissioning of HVAC</t>
  </si>
  <si>
    <t>23 09 00</t>
  </si>
  <si>
    <t>23 30 00</t>
  </si>
  <si>
    <t>23 34 00</t>
  </si>
  <si>
    <t>HVAC Fans</t>
  </si>
  <si>
    <t>23 52 00</t>
  </si>
  <si>
    <t>Boilers</t>
  </si>
  <si>
    <t>23 54 00</t>
  </si>
  <si>
    <t>Furnaces</t>
  </si>
  <si>
    <t>23 70 00</t>
  </si>
  <si>
    <t>Central HVAC Equipment</t>
  </si>
  <si>
    <t>Air-to-Air Energy Recovery Equipment</t>
  </si>
  <si>
    <t>26 00 00</t>
  </si>
  <si>
    <t>Lighting Control Devices</t>
  </si>
  <si>
    <t>26 50 00</t>
  </si>
  <si>
    <t>28 13 00</t>
  </si>
  <si>
    <t>Access Control</t>
  </si>
  <si>
    <t>28 31 49</t>
  </si>
  <si>
    <t>31 10 00</t>
  </si>
  <si>
    <t>Site Clearing</t>
  </si>
  <si>
    <t>31 21 13</t>
  </si>
  <si>
    <t>31 25 00</t>
  </si>
  <si>
    <t>32 13 00</t>
  </si>
  <si>
    <t>Rigid Paving</t>
  </si>
  <si>
    <t>32 31 00</t>
  </si>
  <si>
    <t>32 80 00</t>
  </si>
  <si>
    <t>Irrigation</t>
  </si>
  <si>
    <t>32 91 13</t>
  </si>
  <si>
    <t>Soil Preparation</t>
  </si>
  <si>
    <t>32 90 00</t>
  </si>
  <si>
    <t>32 92 00</t>
  </si>
  <si>
    <t>Turf and Grasses</t>
  </si>
  <si>
    <t>32 93 00</t>
  </si>
  <si>
    <t xml:space="preserve">33 11 00 </t>
  </si>
  <si>
    <t>33 21 00</t>
  </si>
  <si>
    <t>Water Supply Wells</t>
  </si>
  <si>
    <t>7.</t>
  </si>
  <si>
    <t>8.</t>
  </si>
  <si>
    <t>9.</t>
  </si>
  <si>
    <t>10.</t>
  </si>
  <si>
    <t>Water</t>
  </si>
  <si>
    <t>Submit product data documenting consumption metrics for all installed fixtures and equipment (new and existing):
- Toilets: flush rate in gallons per flush (gpf)
- Showerheads (per compartment): flow rate in gallons per minute (gpm) 
- Kitchen and lavatory faucets: flow rate in gallons per minute (gpm)
- Clothes washer: integrated water factor (IWF)
- Dishwasher: gallons per cycle (gpc)</t>
  </si>
  <si>
    <t>HIDE if whole home certification option is used</t>
  </si>
  <si>
    <t>Submit documentation of whole-home water certification.</t>
  </si>
  <si>
    <t>Installed service pressure does not exceed 60 PSI (excluding piping for fire sprinkler systems) and is controlled by a pressure regulator if necessary.</t>
  </si>
  <si>
    <t xml:space="preserve">New installed toilets, showerheads, and lavatory faucets are WaterSense-certified. </t>
  </si>
  <si>
    <t>Option 1: Performance above the mandatory requirement</t>
  </si>
  <si>
    <t>Option 2: Whole-home water certification</t>
  </si>
  <si>
    <t>Show for substantial rehab, pre-1986</t>
  </si>
  <si>
    <t>4.3 Water Quality: (Requirement 1 - Lead service lines)</t>
  </si>
  <si>
    <t>Show for moderate rehab and substantial rehab constructed 1986 or later</t>
  </si>
  <si>
    <t>Lead service lines replaced: 8 points</t>
  </si>
  <si>
    <t>Lead service lines not replaced</t>
  </si>
  <si>
    <t>SHOW if lead service lines are being replaced</t>
  </si>
  <si>
    <t>Submit product data for replacement water service lines and fittings.</t>
  </si>
  <si>
    <t>4.3 Water Quality (Requirement 3 - Water testing and remediation)</t>
  </si>
  <si>
    <t>No testing performed</t>
  </si>
  <si>
    <t>Testing performed, no remediation required</t>
  </si>
  <si>
    <t>Lead remediation required (&lt; 5ppb)</t>
  </si>
  <si>
    <t>Lead remediation required (≥ 5ppb)</t>
  </si>
  <si>
    <t>Nitrate remediation required (&gt; 50 mg nitrates/L or &gt; 11 mg nitrogen/L)</t>
  </si>
  <si>
    <t>Both lead (&lt; 5ppb) and nitrate remediation required</t>
  </si>
  <si>
    <t>Both lead (≥ 5ppb) and nitrate remediation required</t>
  </si>
  <si>
    <t>Show if lead remediation required &lt;5ppb</t>
  </si>
  <si>
    <t>Show if lead remediation required &gt;= 5 ppb</t>
  </si>
  <si>
    <t>Dwelling unit water faucet filters meet NSF/ANSI 58 or NSF/ANSI 53.</t>
  </si>
  <si>
    <t>Submit product data for installed dwelling unit faucet water filters</t>
  </si>
  <si>
    <t>Submit product data for replacement dwelling unit fixtures.</t>
  </si>
  <si>
    <t>Replacement fixtures certified under WaterSense and/or NSF 61.</t>
  </si>
  <si>
    <t>Show if nitrate remediation required</t>
  </si>
  <si>
    <t>Show if nitrate remediation</t>
  </si>
  <si>
    <t>Install custom or pre-engineered reverse-osmosis or ion-exchange water treatment system.</t>
  </si>
  <si>
    <t>Submit specifications for installed reverse-osmosis or ion-exchange water treatment system.</t>
  </si>
  <si>
    <t>Option 1: Leak detection with automatic shutoff</t>
  </si>
  <si>
    <t>Option 2: Pre-rehabilitation leak assessment (Rehab only)</t>
  </si>
  <si>
    <t>Option 3: Advanced water metering</t>
  </si>
  <si>
    <t>Options 1 and 2</t>
  </si>
  <si>
    <t>Options 1 and 3</t>
  </si>
  <si>
    <t>Options 2 and 3</t>
  </si>
  <si>
    <t>Options 1, 2, and 3</t>
  </si>
  <si>
    <t>Show if option 1 is selected</t>
  </si>
  <si>
    <t>Filter Notes</t>
  </si>
  <si>
    <t>SHOW for: Multifamily, if optional points are NOT selected and fixed broadband is NOT available</t>
  </si>
  <si>
    <t>SHOW for: multifamily substantial rehab and new construction (if optional points are NOT selected and fixed broadband is NOT available to property)</t>
  </si>
  <si>
    <t>SHOW for: optional points ARE selected</t>
  </si>
  <si>
    <t>SHOW for: site is 1 acre or less</t>
  </si>
  <si>
    <t>DHW System</t>
  </si>
  <si>
    <t>Central DHW System</t>
  </si>
  <si>
    <t>No Central DHW System</t>
  </si>
  <si>
    <t>4.4 Monitoring Water Consumption and Leaks (Option 2)</t>
  </si>
  <si>
    <t>Hide for rural/tribal/small town and rehabs</t>
  </si>
  <si>
    <t>Show for new construction only</t>
  </si>
  <si>
    <t>Criteria 3.4 not required and not claimed for optional points</t>
  </si>
  <si>
    <t>Criteria 3.4 required (rehab, more than 5,000 sqft land disturbed)</t>
  </si>
  <si>
    <t>Criteria 3.4 required (new construction)</t>
  </si>
  <si>
    <t>Criteria 3.4 used for optional points</t>
  </si>
  <si>
    <t>Hide if rehab in a special flood hazard area (SFHA) (2.1)</t>
  </si>
  <si>
    <t>Hide if (new construction) OR if (rehab, and Option 2 is not selected in 4.4 above)</t>
  </si>
  <si>
    <t>Show if option 2 selected for points</t>
  </si>
  <si>
    <t>Pressure decay or district shut-off testing on domestic mains/risers to isolate zones with losses</t>
  </si>
  <si>
    <t>Acoustic/ultrasonic survey of mains/risers/recirulation loops</t>
  </si>
  <si>
    <t>Thermal scan of domestic hot water recirculation to identify unintended cross-flows or failed check valves</t>
  </si>
  <si>
    <t>Show if rehab AND option 2 is selected for points</t>
  </si>
  <si>
    <t>Show if row below is shown, otherwise hide</t>
  </si>
  <si>
    <t>Show if either option below is shown</t>
  </si>
  <si>
    <t>Show if rehab AND option 2 is selected for points AND pressure decay/district shut-off test selected</t>
  </si>
  <si>
    <t>Show if rehab AND option 2 is selected for points AND acoustic/ultrasonic survey of mains/risers/loops selected</t>
  </si>
  <si>
    <t>Show if rehab AND option 2 is selected for points AND thermal scan selected</t>
  </si>
  <si>
    <t>Prior to construction start, conduct pressure decay or districted shut-off testing on domestic mains/risers. Identify and document zones with losses.</t>
  </si>
  <si>
    <t>Prior to construction start, conduct acoustic/ultrasonic survey of mains/risers/recirculation loops. Document survey results.</t>
  </si>
  <si>
    <t>Prior to construction start, conduct thermal scan of domestic hot water recirculation. Identify and document unintended cross-flows or failed check valves.</t>
  </si>
  <si>
    <t>Before project completion, conduct pressure-loss test and visual inspection of every accessible, visible water supply connection and valve for water-using fixtures, appliances, and equipment. Fix any leaks detected during inspection.</t>
  </si>
  <si>
    <t>4.4 Monitoring Water Consumption and Leaks (Option 2 - central recirculation or cooling towers)</t>
  </si>
  <si>
    <t>Building has a central DHW recirculation system</t>
  </si>
  <si>
    <t>Building has cooling towers</t>
  </si>
  <si>
    <t>Building has both a central DHW recirculation system and cooling towers</t>
  </si>
  <si>
    <t>Show if rehab AND option 2 is selected for points AND building has central DHW recirculation</t>
  </si>
  <si>
    <t>Show if rehab AND option 2 is selected for points AND building has cooling towers</t>
  </si>
  <si>
    <t>Show if option 3 selected for points</t>
  </si>
  <si>
    <t>Water meters are remote-readable and provide alerts and data logging at less than 5-minute intervals. Meters are capable of separately metering cold-water branches serving individual dwelling units, cold-water risers and feed for all buildings in the project, common laundry, toilets, boiler makeup water, outdoor water consumption, and/or water consumption in nonresidential spaces as applicable.</t>
  </si>
  <si>
    <t>Water meters are installed to separately meter the following end uses:</t>
  </si>
  <si>
    <t>Show if option 3 selected AND cold-water branch selected</t>
  </si>
  <si>
    <t>Show if option 3 selected AND cold-water risers selected</t>
  </si>
  <si>
    <t>- Each cold-water branch off the apartment line serving individual dwelling units</t>
  </si>
  <si>
    <t>- Each cold-water riser and domestic hot water cold-water feed for all buildings in the project</t>
  </si>
  <si>
    <t>- Common laundry facilities</t>
  </si>
  <si>
    <t>- All toilets (both in dwelling unit and in common areas)</t>
  </si>
  <si>
    <t>- Boiler makeup water</t>
  </si>
  <si>
    <t>- Outdoor water consumption</t>
  </si>
  <si>
    <t>- Water consumption in any nonresidential spaces within buildings</t>
  </si>
  <si>
    <t>Show if option 3 selected AND laundry selected</t>
  </si>
  <si>
    <t>Show if option 3 selected AND toilets selected</t>
  </si>
  <si>
    <t>Show if option 3 selected AND boiler makeup selected</t>
  </si>
  <si>
    <t>Show if option 3 selected AND outdoor water selected</t>
  </si>
  <si>
    <t>Show if option 3 selected AND nonresidential water consumption selected</t>
  </si>
  <si>
    <t>Show if Option 3 is selected for 4.4</t>
  </si>
  <si>
    <t>Water meter for each cold-water riser and DHW cold-water feed for all buildings</t>
  </si>
  <si>
    <t>Water meter for each cold-water branch serving individual dwelling units</t>
  </si>
  <si>
    <t>4.4 Monitoring Water Consumption and Leaks (Option 3 - cold water serving dwelling units)</t>
  </si>
  <si>
    <t>4.4 Monitoring Water Consumption and Leaks (Option 3 - other end uses)</t>
  </si>
  <si>
    <t>Show if any points claimed under 4.4</t>
  </si>
  <si>
    <t>Option 1: Performance design path</t>
  </si>
  <si>
    <t>Option 2: Certification design path</t>
  </si>
  <si>
    <t>Option 3: Volumetric design path, Strategy A</t>
  </si>
  <si>
    <t>Option 3: Volumetric design path, Strategy B</t>
  </si>
  <si>
    <t>Show if option 1 selected</t>
  </si>
  <si>
    <t>Show if option 2 selected</t>
  </si>
  <si>
    <t>Show if Criteria 4.5 selected for points (any option)</t>
  </si>
  <si>
    <t>Show if option 3 - strategy B is selected</t>
  </si>
  <si>
    <t>Hot water distribution pipe diameter meets IAPMO Water Demand Calculator via 2023 WE-Stand Chapter 5 or 224 UPC Appendix M.</t>
  </si>
  <si>
    <t>Hot water distribution pipe diameter sized to store no more than 0.5 gallons of water in any piping/manifold between the fixture and the hot water source (i.e., the water heater or, if present, the central recirculation line/riser pipe).</t>
  </si>
  <si>
    <t>Show if option 3 - Strategy A is selected</t>
  </si>
  <si>
    <t>Hot water distribution pipe diameter sized to store no more than 1.8 gallons of water in any piping/manifold between the fixture and the hot water source (i.e., the water heater or, if present, the central recirculation line/riser pipe).</t>
  </si>
  <si>
    <t>Water heater has a UEF ≥ 0.87 for gas or UEF ≥ 2.2 for electric.</t>
  </si>
  <si>
    <t>Dwelling unit showerheads, bath faucets, and aerators are WaterSense certified.</t>
  </si>
  <si>
    <t xml:space="preserve">Show if option 3 - strategy B is selected AND multifamily </t>
  </si>
  <si>
    <t>Show if criteria 4.4 - Option 3 selected for points</t>
  </si>
  <si>
    <t>Show if option 3 - EITHER STRATEGY is selected AND the project is multifamily</t>
  </si>
  <si>
    <t>Criteria 4.6 not used.</t>
  </si>
  <si>
    <t>Rain/greywater used for 10% of indoor nonpotable water demand</t>
  </si>
  <si>
    <t>Rain/greywater used for 20% of indoor nonpotable water demand</t>
  </si>
  <si>
    <t>Rain/greywater used for 30% of indoor nonpotable water demand</t>
  </si>
  <si>
    <t>Rain/greywater used for 40% of indoor nonpotable water demand</t>
  </si>
  <si>
    <t>Show if 4.6 selected for points, otherwise hide</t>
  </si>
  <si>
    <t>Product data for recirculating central hot water distribution system pipe insulation documenting insulation thickness and R-value.</t>
  </si>
  <si>
    <t>Product data for dwelling unit water heaters documenting UEF.</t>
  </si>
  <si>
    <t>Documentation of WaterSense certification.</t>
  </si>
  <si>
    <t>Product data for installed water-monitoring and leak-detection system.</t>
  </si>
  <si>
    <t>Storage/surge tanks are water-tight and corrosion-resistant with tamper-resistant lid installed at or above grade and a permanent, gravity-fed connection to the building sewer for overflow, protected by a backwater valve. Clearly labeled as non-potable water.</t>
  </si>
  <si>
    <t>Diverter valves clearly marked to indicate potable and non-potable water sources.</t>
  </si>
  <si>
    <t>Show if 4.6 is selected for points</t>
  </si>
  <si>
    <t>Show if 4.6 selected for any points, otherwise hide</t>
  </si>
  <si>
    <t>SHOW for: site is more than one acre</t>
  </si>
  <si>
    <t>Criteria 4.7 not used.</t>
  </si>
  <si>
    <t>Option 1: Pressurized water supply</t>
  </si>
  <si>
    <t>Option 2: On-site water storage</t>
  </si>
  <si>
    <t>Option 3: On-site well</t>
  </si>
  <si>
    <t>Show if 4.7 selected for points</t>
  </si>
  <si>
    <t>Show if 4.7 - option 2 is used</t>
  </si>
  <si>
    <t>Show if 4.7 - option 3 is used</t>
  </si>
  <si>
    <t xml:space="preserve">If provided, on-site potable water storage tank provides at least 10 gallons per resident for four days. </t>
  </si>
  <si>
    <t>On-site well pumping equipment can be operated when the electric grid is down (e.g., with a hand pump, portable generator, or gravity flow).</t>
  </si>
  <si>
    <t>Install fixtures that residents can use to fill water containers using only the available pressure from the water main. Access points must be located above design flood elevation, be ADA accessible, may not be located in restrooms, and must be accessible to all residents during a power loss.</t>
  </si>
  <si>
    <t>Install on-site drilled well or gravity-fed spring catchment.</t>
  </si>
  <si>
    <t>Energy</t>
  </si>
  <si>
    <t>Show for rehab only</t>
  </si>
  <si>
    <t>5.2a Building Performance</t>
  </si>
  <si>
    <t>Show if new construction and single family</t>
  </si>
  <si>
    <t>Submit an ENERGY STAR Multifamily New Construction certificate for every dwelling unit.</t>
  </si>
  <si>
    <t>Submit an ENERGY STAR Single Family New Homes certificate for every single family home, duplex, and/or townhouse.</t>
  </si>
  <si>
    <t>All products meet ENERGY STAR Multifamily New Construction program requirements.</t>
  </si>
  <si>
    <t>All products meet ENERGY STAR Single Family New Homes program requirements.</t>
  </si>
  <si>
    <t>Coordinate with a qualified third-party energy rater to certify each dwelling unit under the ENERGY STAR Multifamily New Construction program.</t>
  </si>
  <si>
    <t>Coordinate with a qualified third-party energy rater to certify each of the project's single family homes, duplexes, and townhouses under the ENERGY STAR Single Family New Homes program.</t>
  </si>
  <si>
    <t>5.2b Building Performance: Rehabilitation (Compliance Option)</t>
  </si>
  <si>
    <t>5.2b Building Performance: Rehabilitation (HVAC)</t>
  </si>
  <si>
    <t>Option 1: Energy Rating Index</t>
  </si>
  <si>
    <t>Option 2: ASHRAE 90.1</t>
  </si>
  <si>
    <t>Project is located in California and using Title 24 compliance path</t>
  </si>
  <si>
    <t xml:space="preserve">Project is located in Colorado, CZ 5, and following a pathway administered by Energy Outreach Colorado </t>
  </si>
  <si>
    <t>Project uses new HVAC system(s) only</t>
  </si>
  <si>
    <t>Project uses existing HVAC system(s) only</t>
  </si>
  <si>
    <t>Project uses a mixture of new and existing HVAC systems</t>
  </si>
  <si>
    <t>5.2b Building Performance: Rehabilitation (Infiltration)</t>
  </si>
  <si>
    <t xml:space="preserve">0.40 CFM 50/sfbe compartmentalization target </t>
  </si>
  <si>
    <t>20% improvement of CFM50/sfbe compared to pre-retrofit condition</t>
  </si>
  <si>
    <t>Combination of infiltration targets</t>
  </si>
  <si>
    <t>5.2b Building Performance: Rehabilitation (Insulation)</t>
  </si>
  <si>
    <t>Rehab includes insulation installation</t>
  </si>
  <si>
    <t>Rehab does not include insulation installation</t>
  </si>
  <si>
    <t>Change Log</t>
  </si>
  <si>
    <t>Version</t>
  </si>
  <si>
    <t>Date released</t>
  </si>
  <si>
    <t>Updates Included</t>
  </si>
  <si>
    <t>Dropdowns</t>
  </si>
  <si>
    <t>Introduction</t>
  </si>
  <si>
    <t>Instructions</t>
  </si>
  <si>
    <t>Table of Contents</t>
  </si>
  <si>
    <t>Specs</t>
  </si>
  <si>
    <t>This tab is for reference only. It includes the dropdown lists used in the "EGC Criteria Selection" tab.</t>
  </si>
  <si>
    <t>This tab is for reference only. It includes notes on bug fixes and versioning of this tool.</t>
  </si>
  <si>
    <t>IECC Climate Zone</t>
  </si>
  <si>
    <t>Submittals, Execution</t>
  </si>
  <si>
    <t>Submittals, Products, Execution</t>
  </si>
  <si>
    <t>2026 Enterprise Green Communities Criteria</t>
  </si>
  <si>
    <t>11.</t>
  </si>
  <si>
    <t>Specifications</t>
  </si>
  <si>
    <t>List of Divisions and Sections Used in these Specifications</t>
  </si>
  <si>
    <t>Division 1: General Requirements</t>
  </si>
  <si>
    <t>Division 2: Existing Conditions</t>
  </si>
  <si>
    <t>Division 3: Concrete</t>
  </si>
  <si>
    <t>Division 4: Masonry</t>
  </si>
  <si>
    <t>Division 5: Metals</t>
  </si>
  <si>
    <t>Division 6: Wood, Plastics, and Composites</t>
  </si>
  <si>
    <t>Division 7: Thermal and Moisture Protection</t>
  </si>
  <si>
    <t>Division 8: Openings</t>
  </si>
  <si>
    <t>Division 9: Finishes</t>
  </si>
  <si>
    <t>Division 10: Specialties</t>
  </si>
  <si>
    <t>Division 11: Equipment</t>
  </si>
  <si>
    <t>Division 12: Furnishings</t>
  </si>
  <si>
    <t>Division 14: Conveying Equipment</t>
  </si>
  <si>
    <t>Division 22: Plumbing</t>
  </si>
  <si>
    <t>Division 23: HVAC</t>
  </si>
  <si>
    <t>Division 26: Electrical</t>
  </si>
  <si>
    <t>Division 28: Electronic Safety &amp; Security</t>
  </si>
  <si>
    <t>Division 31: Earthwork</t>
  </si>
  <si>
    <t>Division 32: Exterior Improvements</t>
  </si>
  <si>
    <t>Division 33: Utilities</t>
  </si>
  <si>
    <t xml:space="preserve">01 74 19 </t>
  </si>
  <si>
    <t>Construction Waste Management and Disposal</t>
  </si>
  <si>
    <t>Operations and Maintenance Data</t>
  </si>
  <si>
    <t>Demonstration and Training</t>
  </si>
  <si>
    <t>Sustainable Building Requirements</t>
  </si>
  <si>
    <t>Doors and Frames</t>
  </si>
  <si>
    <t>Flooring</t>
  </si>
  <si>
    <t>Storm Drainage</t>
  </si>
  <si>
    <t>Domestic Water Heaters</t>
  </si>
  <si>
    <t>HVAC Air Distribution</t>
  </si>
  <si>
    <t>Radon Mitigation</t>
  </si>
  <si>
    <t>Storm Drainage Structures</t>
  </si>
  <si>
    <t>Enterprise Green Communities 2026 Criteria Specifications</t>
  </si>
  <si>
    <t>Division 27: Communications</t>
  </si>
  <si>
    <t>Structured Cabling</t>
  </si>
  <si>
    <t>Soil Erosion and Sedimentation Controls</t>
  </si>
  <si>
    <t xml:space="preserve">26 09 23 </t>
  </si>
  <si>
    <t xml:space="preserve">33 16 00 </t>
  </si>
  <si>
    <t>Water Storage Tanks</t>
  </si>
  <si>
    <t xml:space="preserve">32 17 00 </t>
  </si>
  <si>
    <t>Paving Specialties</t>
  </si>
  <si>
    <t xml:space="preserve">32 17 29 </t>
  </si>
  <si>
    <t>Crosswalk Warning Lights and Signs</t>
  </si>
  <si>
    <t>Fences and Gates</t>
  </si>
  <si>
    <t>Division 34: Transportation</t>
  </si>
  <si>
    <t>34 71 13</t>
  </si>
  <si>
    <t>Vehicle Barriers</t>
  </si>
  <si>
    <t>Steep Slope Roofing</t>
  </si>
  <si>
    <t>Roofing and Siding Panels</t>
  </si>
  <si>
    <t>Membrane Roofing</t>
  </si>
  <si>
    <t>Flashing and Sheet Metal</t>
  </si>
  <si>
    <t>Vegetated Roof Systems</t>
  </si>
  <si>
    <t>Flexible Paving</t>
  </si>
  <si>
    <t>Facility Water Distribution</t>
  </si>
  <si>
    <t xml:space="preserve">Water Utility Distribution Piping </t>
  </si>
  <si>
    <t xml:space="preserve">33 05 01 </t>
  </si>
  <si>
    <t>Lead Service Line Replacement</t>
  </si>
  <si>
    <t>22 31 16</t>
  </si>
  <si>
    <t>Reverse-Osmosis Water Equipment</t>
  </si>
  <si>
    <t>Meters and Gauges for Plumbing Piping</t>
  </si>
  <si>
    <t>Water Detection and Alarm</t>
  </si>
  <si>
    <t xml:space="preserve">22 13 00 </t>
  </si>
  <si>
    <t xml:space="preserve">Facility Sanitary Sewerage </t>
  </si>
  <si>
    <t>Related Sections Within Division 01:</t>
  </si>
  <si>
    <t>Section 01 78 23 Operations and Maintenance Data</t>
  </si>
  <si>
    <t>Section 01 79 00 Demonstration and Training</t>
  </si>
  <si>
    <t>Other Related Divisions:</t>
  </si>
  <si>
    <t xml:space="preserve">01 81 13 </t>
  </si>
  <si>
    <t>Part 2 - Products</t>
  </si>
  <si>
    <t>Temporary Erosion and Sediment Control</t>
  </si>
  <si>
    <t>Enterprise Green Communities - General</t>
  </si>
  <si>
    <t>Execution Requirements</t>
  </si>
  <si>
    <t xml:space="preserve">Divisions 02 - 12, 14, 22, 23, 26 - 28, and 31 - 34 where related submittal, product, or execution requirements relate to Criteria.  </t>
  </si>
  <si>
    <t>All B5 - rated fixtures:
- Minimum distance to property line: 2 mounting heights
All B4 - rated fixtures:
- Minimum distance to property line: 1 mounting height
- If installed less than 2 mounting heights from the property line, must be mounted with backlight portion of light output oriented perpendicular and towards the property line. 
All B2 or B3 - rated fixtures:
- Minimum distance to property line: 0.5 mounting height
- If installed less than 1 mounting height from the property line, must be mounted with backlight portion of light output oriented perpendicular and towards the property line. 
All B1 - rated fixtures: 
- If installed 0.5 or fewer mounting heights to property line, must be mounted with backlight portion of light output oriented perpendicular and towards the property line. 
All G3 - rated fixtures:
- Minimum distance to property line: 2 mounting heights, unless mounted with backlight perpendicular to property line.
All G1 - rated fixtures:
- Minimum distance to property line: 0.5 mounting heights, unless mounted with backlight perpendicular to property line.</t>
  </si>
  <si>
    <t>Refer to 01 42 00 for a comprehensive list of References and Definitions</t>
  </si>
  <si>
    <t xml:space="preserve">References  </t>
  </si>
  <si>
    <t>E.</t>
  </si>
  <si>
    <t>F.</t>
  </si>
  <si>
    <t>G.</t>
  </si>
  <si>
    <t>H.</t>
  </si>
  <si>
    <t>I.</t>
  </si>
  <si>
    <t>J.</t>
  </si>
  <si>
    <t>K.</t>
  </si>
  <si>
    <t>U.S. Department of Homeland Security, FEMA Flood Map Service Center</t>
  </si>
  <si>
    <t>American Society of Civil Engineers, Flood Resistant Design and Construction, ASCE/SEI 24-24</t>
  </si>
  <si>
    <t>American Society of Civil Engineers, Supplement 2 of ASCE/SEI 7-22: Minimum Design Loads and Associated Criteria for Buildings and Other Structures</t>
  </si>
  <si>
    <t>U.S. Army Corps of Engineers, Regional Supplements to Corps Delineation Manual</t>
  </si>
  <si>
    <t>Federal Geographic Data Committee, Classification of Wetlands and Deepwater Habitats of the United States</t>
  </si>
  <si>
    <t>Illuminating Engineering Society and DarkSky International, Joint IDA – IES Model Lighting Ordinance (MLO)</t>
  </si>
  <si>
    <t>L.</t>
  </si>
  <si>
    <t>U.S. Federal Emergency Management Agency (FEMA), Building Designer’s Guide to Calculating Flood Loads Using ASCE 7-22 Supplement 2 (FEMA P-2345/April 2024)</t>
  </si>
  <si>
    <t>International Code Council, 2024 International WUI Code</t>
  </si>
  <si>
    <t>National Wildlife Coordinating Group, NWCG Standards for Mitigation in the Wildland Urban Interface</t>
  </si>
  <si>
    <t>M.</t>
  </si>
  <si>
    <t>N.</t>
  </si>
  <si>
    <t>O.</t>
  </si>
  <si>
    <t>P.</t>
  </si>
  <si>
    <t>Q.</t>
  </si>
  <si>
    <t>S.</t>
  </si>
  <si>
    <t>T.</t>
  </si>
  <si>
    <t>U.</t>
  </si>
  <si>
    <t>V.</t>
  </si>
  <si>
    <t>W.</t>
  </si>
  <si>
    <t>X.</t>
  </si>
  <si>
    <t>RESNET, Water Efficiency Rating System HERSH2O</t>
  </si>
  <si>
    <t>NSF International, Certified Product Listings for Lead Reduction.</t>
  </si>
  <si>
    <t>U.S. Department of Energy, DOE Efficient New Homes Multifamily National Program Requirements, Version 2</t>
  </si>
  <si>
    <t>U.S. Department of Energy, DOE Efficient New Homes Single Family National Program Requirements Version 2</t>
  </si>
  <si>
    <t>International Code Council, CSA B805/ICC 805:2022, Rainwater Harvesting Systems.</t>
  </si>
  <si>
    <t>Y.</t>
  </si>
  <si>
    <t>Z.</t>
  </si>
  <si>
    <t>AA.</t>
  </si>
  <si>
    <t>Definitions</t>
  </si>
  <si>
    <t>Property Line</t>
  </si>
  <si>
    <t>When establishing requirements for exterior lighting BUG ratings, allow extra 5 feet when property line abuts public walkway, bikeway, plaza, and parking lot. For property lines that abut public roadways and public transit corridors, property line considered to be the centerline of the public roadway or corridor.</t>
  </si>
  <si>
    <t>The measure of a material’s ability to reject solar heat, as shown by a small temperature rise. Calculated according to ASTM E1980 using the material’s Emittance and Reflectivity values. Standard black has an SRI of 0 and standard white has an SRI of 100.</t>
  </si>
  <si>
    <t>Solar Reflectance (Albedo)</t>
  </si>
  <si>
    <t>Soil and other debris that has been eroded and transported by storm or production runoff water.</t>
  </si>
  <si>
    <t>Sediment</t>
  </si>
  <si>
    <t>Radon</t>
  </si>
  <si>
    <t>Potable Water</t>
  </si>
  <si>
    <t>Water suitable for drinking and supplied from wells or municipal water systems.</t>
  </si>
  <si>
    <t>LED (Light-Emitting Diode)</t>
  </si>
  <si>
    <t>Energy-efficient lights that produce less initial heat per lumen, consume less energy, and last longer than conventional incandescent and fluorescent lights</t>
  </si>
  <si>
    <t>Backlight</t>
  </si>
  <si>
    <t>Uplight</t>
  </si>
  <si>
    <t>Glare</t>
  </si>
  <si>
    <t>BUG</t>
  </si>
  <si>
    <t>A luminaire classification system that classifies backlight (B), uplight (U) and glare (G).</t>
  </si>
  <si>
    <t>For an exterior luminaire, lumens emitted in the quarter sphere below horizontal and in the opposite direction of the intended orientation of the luminaire. For luminaires with symmetric distribution, backlight will be the same as front light.</t>
  </si>
  <si>
    <t>Lighting entering the eye directly from luminaires or indirectly from reflective surfaces that causes visual discomfort or reduced visibility.</t>
  </si>
  <si>
    <t>For an exterior luminaire, flux radiated in the hemisphere at or above the horizontal plane.</t>
  </si>
  <si>
    <t>Related Sections</t>
  </si>
  <si>
    <t>Section 01 81 13 Sustainable Building Requirements</t>
  </si>
  <si>
    <t>(no EGC requirements)</t>
  </si>
  <si>
    <t>Section 31 10 00 Site Clearing</t>
  </si>
  <si>
    <t>Section 31 25 00 Soil Erosion and Sedimentation Controls</t>
  </si>
  <si>
    <t>Section 32 91 13 Soil Preparation</t>
  </si>
  <si>
    <t>Conform to execution requirements in accordance with 01 81 13 under Criterion 3.1.</t>
  </si>
  <si>
    <t>Safety condition does not apply or will not be addressed</t>
  </si>
  <si>
    <t>Safety condition will be addressed</t>
  </si>
  <si>
    <t>Show for New Construction Only</t>
  </si>
  <si>
    <t>Strategy used to meet Option 1: Roofing Materials</t>
  </si>
  <si>
    <t>Option 1 not used or strategy not used to meet Option 1.</t>
  </si>
  <si>
    <t>SHOW if SRI selected for Option 1</t>
  </si>
  <si>
    <t>SHOW if SR 0.33 paving is selected for Option 2</t>
  </si>
  <si>
    <t>SHOW if open-grid paving is selected for Option 2</t>
  </si>
  <si>
    <t>Option 2 not used or strategy not used to meet Option 2.</t>
  </si>
  <si>
    <t>Strategy used to meet Option 2: Paved Surfaces</t>
  </si>
  <si>
    <t>Show if Option 1</t>
  </si>
  <si>
    <t>Install shade structures, paving materials meeting solar reflectance requirements, and/or open-grid paving systems on at least 50% of ground-level paved areas.</t>
  </si>
  <si>
    <t>Install roofing materials meeting SRI requirements, vegetated roof, and/or PV panels to cover at least 70% of usable roof area.</t>
  </si>
  <si>
    <t>Show if Option 2</t>
  </si>
  <si>
    <t>Hide for MF, Show for SF (any Fortifed roof option)</t>
  </si>
  <si>
    <t>Hurricane-Prone Regions (for FORTIFIED program)</t>
  </si>
  <si>
    <t>Areas vulnerable to hurricanes as defined in ASCE. For ASCE 7-10, ASCE 7-16, and ASCE 7-22, hurricane-prone regions are locations along the Gulf of Mexico and Atlantic coasts where the wind speed for Risk Category II buildings is greater than 115 mph, plus Hawaii, Puerto Rico, the Virgin Islands, Guam, and American Samoa.</t>
  </si>
  <si>
    <t>Show for SF hail supplement</t>
  </si>
  <si>
    <t>Show for SF Gold</t>
  </si>
  <si>
    <t>Show for SF gold</t>
  </si>
  <si>
    <t>All roofing and attic vent products meet FORTIFIED Roof requirements.</t>
  </si>
  <si>
    <t>All gable end bracing and chimney bracing, and in hurricane-prone regions, all fenestration and soffits, meet FORTIFIED Silver requirements.</t>
  </si>
  <si>
    <t>In hurricane-prone regions, exterior sheathing and pressure-rated windows and doors meet FORTIFIED Gold requirements.</t>
  </si>
  <si>
    <t>Impact-resistant roof coverings meet requirements of the FORITIFED Hail Supplement.</t>
  </si>
  <si>
    <t>All roofing and attic vent products installed per FORTIFIED Roof requirements.</t>
  </si>
  <si>
    <t>All gable end bracing and chimney bracing, and in hurricane-prone regions, all fenestration and soffits, installed per FORTIFIED Silver requirements.</t>
  </si>
  <si>
    <t>Impact-resistant roof coverings installed per FORITIFED Hail Supplement.</t>
  </si>
  <si>
    <t>Roof-to-wall, story-to-story, and wall-to-foundation connections installed per FORTIFIED Gold requirements.</t>
  </si>
  <si>
    <t>Option 2 used.</t>
  </si>
  <si>
    <t>Hide if Option 2 not used.</t>
  </si>
  <si>
    <t>Property is implementing at least two guidance items.</t>
  </si>
  <si>
    <t>Property is not implementing guidance items from this HUD one-pager.</t>
  </si>
  <si>
    <t>Show if using 3.10 for points</t>
  </si>
  <si>
    <t>Show if using 3.10 Option 1</t>
  </si>
  <si>
    <t>Show if using 3.10 Option 2</t>
  </si>
  <si>
    <t>Show if using 3.10 Option 3</t>
  </si>
  <si>
    <t>Product data for floodproofing barriers (including windows, doors, impermeable panels, flood shields, as applicable).</t>
  </si>
  <si>
    <t>Hide for MF, show for any SF Fortified Gold or Silver</t>
  </si>
  <si>
    <t>Show if 3.10 Option 3</t>
  </si>
  <si>
    <t>At least one exit door is installed above design flood elevation (DFE).</t>
  </si>
  <si>
    <t>Show if 3.11 selected for points</t>
  </si>
  <si>
    <t>Show if 3.11 selected for 9 or 12 points</t>
  </si>
  <si>
    <t>Show if 3.11 selected for 12 points</t>
  </si>
  <si>
    <t>Product data for vegetation planted within 5-30 feet of each building (ignition zone 1).</t>
  </si>
  <si>
    <t>Product data for non-vegetated landscaping ground cover used within 5-30 feet of each building (ignition zone 1).</t>
  </si>
  <si>
    <t>Product data for siding and cladding materials.</t>
  </si>
  <si>
    <t>Product data for materials used in deck and balcony construction.</t>
  </si>
  <si>
    <t>Soffits are noncombustible.</t>
  </si>
  <si>
    <t>Roof covering materials are Class A fire-rated.</t>
  </si>
  <si>
    <t>Windows are dual-pane, triple-pane, and/or have at least one tempered glass pane.</t>
  </si>
  <si>
    <t>Vegetation planted within 5-30 feet of each building (ignition zone 1) is fire-resistant/high-moisture.</t>
  </si>
  <si>
    <t>Non-vegetated landscaping ground cover used within 5-30 feet of each building (ignition zone 1) is non-flammable.</t>
  </si>
  <si>
    <t>Metal mesh covering vents has 1/8-inch openings.</t>
  </si>
  <si>
    <t>Siding and cladding materials are ignition-resistant (e.g., fiber cement, stucco, brick, steel).</t>
  </si>
  <si>
    <t>All vegetation, combustible fencing, or other flammable item removed from ignition zone 0 (0 - 5ft from each building).</t>
  </si>
  <si>
    <t>Roof eaves are constructed with soffit closings (i.e., closed eaves or box eaves).</t>
  </si>
  <si>
    <t>Mow grass to a low height.</t>
  </si>
  <si>
    <t>Cover all vents with 1/8-inch metal mesh.</t>
  </si>
  <si>
    <t>Enclose under-deck areas with metal screening.</t>
  </si>
  <si>
    <t>Show for: rehabs in aquatic ecosystems only</t>
  </si>
  <si>
    <t>Show only if using option for 100% of demand met by at least some rainwater</t>
  </si>
  <si>
    <t>Nonpotable water sources (including rainwater) for 100% of demand.</t>
  </si>
  <si>
    <t>Nonpotable water sources (not including rainwater) for 100% of demand.</t>
  </si>
  <si>
    <t>ENERGY STAR verification: Contractor is responsible for coordinating with appropriate verification team members to ensure inspections and leakage tests can be performed at the appropriate times and without delaying construction progress.</t>
  </si>
  <si>
    <t>Show for New Construction</t>
  </si>
  <si>
    <t>Option 1a: Energy Rating Index, moderate rehab with all dwelling units built before 1980</t>
  </si>
  <si>
    <t>Show if rehab option 2</t>
  </si>
  <si>
    <t>Submit energy model report demonstrating project energy performance equivalent to or better than the version of Title 24 under which the project is permitted.</t>
  </si>
  <si>
    <t>Documentation that project meets requirements of Energy Outreach Colorado.</t>
  </si>
  <si>
    <t>Show if rehab</t>
  </si>
  <si>
    <t>Submit completed ENERGY STAR Multifamily New Construction HVAC Functional Testing Checklist Version 1.1 for 100% of exsiting HVAC systems. The checklist can be submitted for less than 100% of new HVAC systems if following sampling guidance provided by ENERGY STAR.</t>
  </si>
  <si>
    <t>Submit heating and cooling load calculations and equipment selection performed in accordance with the Air Conditioning Contractors of America (ACCA) Manuals J and S or ASHRAE handbooks for any newly installed HVAC equipment.</t>
  </si>
  <si>
    <t>Submit completed ENERGY STAR Multifamily New Construction HVAC Functional Testing Checklist Version 1.1 for 100% of exsiting HVAC systems.</t>
  </si>
  <si>
    <t>Show if rehab, new systems or mix of old and new</t>
  </si>
  <si>
    <t>Submit completed ENERGY STAR Multifamily New Construction HVAC Functional Testing Checklist Version 1.1 following sampling guidance provided by ENERGY STAR.</t>
  </si>
  <si>
    <t>Product information for all permanently installed lighting.</t>
  </si>
  <si>
    <t>Submit air infiltration test results showing CFM50/sfbe for at least 10% of dwelling units in the building across a variety of unit types.</t>
  </si>
  <si>
    <t>Product data for installed clothes washers, dishwashers, and refrigerators showing ENERGY STAR certification.</t>
  </si>
  <si>
    <t xml:space="preserve">Product information for thermal insulation showing R values. </t>
  </si>
  <si>
    <t>Show if Rehab option 1 and built before 1980 and moderate rehab</t>
  </si>
  <si>
    <t>Show if rehab california</t>
  </si>
  <si>
    <t>Show if rehab colorado</t>
  </si>
  <si>
    <t>90% of permanently installed lights are LEDs.</t>
  </si>
  <si>
    <t>Installed clothes washers, dishwashers, and refrigerators are ENERGY STAR certified.</t>
  </si>
  <si>
    <t>show if rehab</t>
  </si>
  <si>
    <t>Submit ERI energy rating certificate for every dwelling unit demonstrating an ERI score of 80 or less, excluding on-site power generation.</t>
  </si>
  <si>
    <t>Submit ERI energy rating certificate for every dwelling unit demonstrating an ERI score of 90 or less, excluding on-site power generation.</t>
  </si>
  <si>
    <t xml:space="preserve">Submit energy model report demonstrating project energy performance equivalent to or better than ASHRAE Standard 90.1-2013, according to the methodology in Appendix G 90.1-2016, excluding on-site power generation. </t>
  </si>
  <si>
    <t>Show if option 2</t>
  </si>
  <si>
    <t>Show if option 1 moderate rehab pre-1980</t>
  </si>
  <si>
    <t>Show if option 2 and CA</t>
  </si>
  <si>
    <t>Show if option 2 and CO</t>
  </si>
  <si>
    <t>Complete and pass testing via the ENERGY STAR National HVAC Functional Testing Checklist, Version 1.1. 100% of existing systems must be tested and a subset of new systems may be tested according to the sampling policy contained in the checklist.</t>
  </si>
  <si>
    <t>Use HVAC load calculation software programs reviewed by ACCA to perform Manual J and S calculations for all new HVAC equipment.</t>
  </si>
  <si>
    <t>Select and install HVAC equipment according to ACCA Manual J and S procedures to ensure right-sizing for all new HVAC equipment.</t>
  </si>
  <si>
    <t xml:space="preserve">Show if substantial rehab </t>
  </si>
  <si>
    <t>Projects may use a combination of these two targets for different dwelling units.</t>
  </si>
  <si>
    <t>Show if moderate rehab or substantial rehab with historic designation, selecting 0.4</t>
  </si>
  <si>
    <t>Show if moderate rehab or substantial with historic designation if using pre/post option</t>
  </si>
  <si>
    <t>Show if moderate rehab or substantial with historic designation using a combination.</t>
  </si>
  <si>
    <t>Install thermal insulation to Grade 1 level per ANSI/RESNET/ICC Standard 301. Grade II level permitted in floors if they fill full width and depth, as long as R-value of the batts has been appropriately assessed based on manufacturer guidance and the only defect preventing the insulation from achieving Grade I is the compression caused by the excess insulation. Insulation installation grade must be verified by a qualified third-party energy rater.</t>
  </si>
  <si>
    <t>Show if rehab includes insulation</t>
  </si>
  <si>
    <t>Criteria 5.3 not used.</t>
  </si>
  <si>
    <t>Option 1: Performance above mandatory requirement</t>
  </si>
  <si>
    <t>Option 2: DOE Efficient New Homes Program</t>
  </si>
  <si>
    <t>Option 2: ENERGY STAR NextGen</t>
  </si>
  <si>
    <t>Option 2: PHI Classic, Plus, Premium, LEB, or EnerPHit</t>
  </si>
  <si>
    <t>Option 2: Phius CORE, ZERO, or REVIVE</t>
  </si>
  <si>
    <t>Option 3: Deep energy retrofit (for rehab projects ONLY)</t>
  </si>
  <si>
    <t>Submit an ENERGY STAR Single Family New Homes certificate for every single family home, duplex, and/or townhouse showing performance at least 5 points more efficient than the program's ERI Target Score.</t>
  </si>
  <si>
    <t xml:space="preserve">Submit energy model report demonstrating project energy performance at least 5% better than ASHRAE Standard 90.1-2013, according to the methodology in Appendix G 90.1-2016, excluding on-site power generation. </t>
  </si>
  <si>
    <t>Submit energy model report demonstrating project energy performance at least 5% better than the version of Title 24 under which the project is permitted.</t>
  </si>
  <si>
    <t>Show if 5.3 option 1 is selected and ASHRAE path used under 5.2b</t>
  </si>
  <si>
    <t>Show if 5.3 option 1 is selected and Title 24 path used under 5.2b</t>
  </si>
  <si>
    <t>Show if 5.3 Option 2: DENH selected</t>
  </si>
  <si>
    <t>Submit an ENERGY STAR NextGen certificate for every dwelling unit.</t>
  </si>
  <si>
    <t>Submit a DOE Efficient New Homes certificate for every dwelling unit for the program version applicable based on project type and permit date.</t>
  </si>
  <si>
    <t>Show if Option 2: ES NextGen selected</t>
  </si>
  <si>
    <t>Show if 5.3 Option 2: PHI selected</t>
  </si>
  <si>
    <t>Show if 5.3 Option 2: Phius selected</t>
  </si>
  <si>
    <t>Submit proof of certification under Passive House International Classic, Plus, Premium, LEB, or EnerPHit.</t>
  </si>
  <si>
    <t>Submit proof of certification under Phius CORE, ZERO, or REVIVE.</t>
  </si>
  <si>
    <t>Show if 5.3 option 1 is selected and ERI path used under 5.2b for substantial rehab (no historic designation)</t>
  </si>
  <si>
    <t>Submit ERI energy rating certificate for every dwelling unit demonstrating an ERI score of 75 or less, excluding on-site power generation.</t>
  </si>
  <si>
    <t>Show if 5.3 option 1 is selected and ERI path used under 5.2b for moderate rehab or substantial rehab with historic designation</t>
  </si>
  <si>
    <t>Submit ERI energy rating certificate for every dwelling unit demonstrating an ERI score of 85 or less, excluding on-site power generation.</t>
  </si>
  <si>
    <t>Submit an ENERGY STAR Multifamily New Construction certificate for every dwelling unit showing performance at least 5 points more efficient than the program's ERI Target Score or at least 5% more efficient than the program's ASHRAE target.</t>
  </si>
  <si>
    <t>Show if single family and 5.3 option 1 is selected and 5.2a is selected</t>
  </si>
  <si>
    <t>Submit ERI energy rating certificate for every dwelling unit demonstrating an ERI score of 65 or less, excluding on-site power generation.</t>
  </si>
  <si>
    <t>Show if 5.3 Option 3, substantial rehab, and and ERI used for 5.2b</t>
  </si>
  <si>
    <t>Show if 5.3 Option 3, moderate rehab, and and ERI used for 5.2b</t>
  </si>
  <si>
    <t>Show if 5.3 Option 3, substantial rehab, and ASHRAE used for 5.2b</t>
  </si>
  <si>
    <t xml:space="preserve">Submit energy model report demonstrating project energy performance at least 15% better than ASHRAE Standard 90.1-2013, according to the methodology in Appendix G 90.1-2016, excluding on-site power generation. </t>
  </si>
  <si>
    <t>Show if 5.3 Option 3, moderate rehab, and ASHRAE used for 5.2b</t>
  </si>
  <si>
    <t xml:space="preserve">Submit energy model report demonstrating project energy performance at least 10% better than ASHRAE Standard 90.1-2013, according to the methodology in Appendix G 90.1-2016, excluding on-site power generation. </t>
  </si>
  <si>
    <t>Show if multifamily new construction and 5.3 option 1 is selected and 5.2a is selected</t>
  </si>
  <si>
    <t>All installed products meet energy efficiency requirements necessary for dwelling units to earn an ERI score of 75 or less, excluding on-site power generation.</t>
  </si>
  <si>
    <t>All installed products meet energy efficiency requirements necessary for dwelling units to earn an ERI score of 85 or less, excluding on-site power generation.</t>
  </si>
  <si>
    <t>All installed products meet energy efficiency requirements necessary for project energy performance to be at least 5% better than the version of Title 24 under which the project is permitted.</t>
  </si>
  <si>
    <t>All products meet DOE Efficient New Homes program requirements for the program version applicable based on project type and permit date.</t>
  </si>
  <si>
    <t>All products meet ENERGY STAR NextGen program requirements.</t>
  </si>
  <si>
    <t>All products meet Passive House International Classic, Plus, Premium, LEB, or EnerPHit program requirements.</t>
  </si>
  <si>
    <t>All products meet Phius CORE, ZERO, or REVIVE program requirements.</t>
  </si>
  <si>
    <t>All installed products meet energy efficiency requirements necessary for dwelling units to earn an ERI score of 65 or less, excluding on-site power generation.</t>
  </si>
  <si>
    <t>All installed products meet energy efficiency requirements necessary for project energy performance to be at least 10% better than ASHRAE Standard 90.1-2013, according to the methodology in Appendx G 90.1-2016, excluding on-site power generation.</t>
  </si>
  <si>
    <t>Coordinate with a qualified third-party energy rater to certify each dwelling unit under the DOE Efficient New Homes program for the program version applicable based on project type and permit date.</t>
  </si>
  <si>
    <t>Coordinate with a qualified third-party energy rater to certify each dwelling unit under the ENERGY STAR NextGen program.</t>
  </si>
  <si>
    <t>Coordinate with a qualified third-party energy rater to certify each dwelling unit under the Passive House International Classic, Plus, Premium, LEB, or EnerPHit program.</t>
  </si>
  <si>
    <t>Coordinate with a qualified third-party energy rater to certify each dwelling unit under the Phius CORE, ZERO, or REVIVE program.</t>
  </si>
  <si>
    <t>Install energy efficiency measures in accordance with the final design energy model. Coordinate with a qualified energy rater to verify that each dwelling unit achieves an ERI score of 85 or less.</t>
  </si>
  <si>
    <t>Install energy efficiency measures in accordance with the final design energy model. Coordinate with a qualified energy rater to verify that each dwelling unit achieves an ERI score of 75 or less.</t>
  </si>
  <si>
    <t>Install energy efficiency measures in accordance with the final design energy model. Coordinate with a qualified energy rater to verify that each dwelling unit achieves an ERI score of 65 or less.</t>
  </si>
  <si>
    <t>Show for new construction</t>
  </si>
  <si>
    <t>Product data for cooking equipment.</t>
  </si>
  <si>
    <t>Photo documentation that no obstructions exist between branch circuit and gas space heating appliances in dwelling units and that the circuit is not used for other appliances.</t>
  </si>
  <si>
    <t>Photo documentation that no obstructions exist between branch circuit and gas water heating appliances in dwelling units and that the circuit is not used for other appliances.</t>
  </si>
  <si>
    <t xml:space="preserve">Photo documentation of space in the electric panel next to the space  heating breaker labeled "240 Ready." </t>
  </si>
  <si>
    <t>Photo documentation of both ends of unused electric space heater wiring labeled.</t>
  </si>
  <si>
    <t xml:space="preserve">Photo documentation of space in the electric panel next to the water heating breaker labeled "240 Ready." </t>
  </si>
  <si>
    <t>Photo documentation of both ends of unused electric water heater wiring labeled.</t>
  </si>
  <si>
    <t xml:space="preserve">Photo documentation of 3x3 feet of clear floor space with a clearance height of at least 6 feet. </t>
  </si>
  <si>
    <t>Show for new construction, gas water heating only</t>
  </si>
  <si>
    <t>No combustion equipment is used for the entire project, except for emergency backup power.</t>
  </si>
  <si>
    <t>Cooking equipment is electric.</t>
  </si>
  <si>
    <t>Branch circuit for future electric space heating uses 3-conductor, 10AWG copper wire.</t>
  </si>
  <si>
    <t>Space heating and water heating equipment are electric.</t>
  </si>
  <si>
    <t>Install branch circuits within 3 feet of gas or propane space heating appliances in dwelling units with no obstructions. Circuits must be dedicated to future electric replacement equipment (125V, 20amp) and cannot be used for other appliances.</t>
  </si>
  <si>
    <t>Install branch circuits within 3 feet of gas or propane water heating appliances in dwelling units with no obstructions. Circuits must be dedicated to future electric replacement equipment (125V, 20amp) and cannot be used for other appliances.</t>
  </si>
  <si>
    <t>Dedicate space in the electric panel next to the space heating breaker for future conversion to 240V and label it as "240 Ready."</t>
  </si>
  <si>
    <t>Dedicate space in the electric panel next to the water heating breaker for future conversion to 240V and label it as "240 Ready."</t>
  </si>
  <si>
    <t>Include receptacles for future heat pumps to be connected to the panel with a 120/240V, 3-conductor, 10AWG copper wire, with both ends of the unused conductor labeled. Ensure these are electrically isolated.</t>
  </si>
  <si>
    <t>Include receptacles for future electric water heaters to be connected to the panel with a 120/240V, 3-conductor, 10AWG copper wire, with both ends of the unused conductor labeled. Ensure these are electrically isolated.</t>
  </si>
  <si>
    <t xml:space="preserve">Install a floor drain to accommodate condensate line near the receptacle for the future electric water heater. </t>
  </si>
  <si>
    <t>Provide approximately 3 feet by 3 feet of clear floor space with clearance height of at least 6 feet near the receptacle for the future electric water heater.</t>
  </si>
  <si>
    <t>Option 1: All-electric or electric-ready dwelling units</t>
  </si>
  <si>
    <t>Option 2: All-electric property</t>
  </si>
  <si>
    <t>Show for rehab, Option 1 selected under 5.4b</t>
  </si>
  <si>
    <t>Show for rehab, Option 1 selected under 5.4b, gas water heating selected</t>
  </si>
  <si>
    <t>Gas tankless equipment used for dwelling unit water heating.</t>
  </si>
  <si>
    <t>Gas tankless equipment is not used for dwelling unit water heating.</t>
  </si>
  <si>
    <t>Show for new construction if there is gas heating or for 5.4b Option 1 if there is gas heating (or gas heating AND gas water heating)</t>
  </si>
  <si>
    <t>Location</t>
  </si>
  <si>
    <t>Urban/Suburban with NYC Overlay</t>
  </si>
  <si>
    <t>Show for new construction if there is gas water or rehab if 5.4b Option 1 and there is gas water heating</t>
  </si>
  <si>
    <t>Show for new construction if there is gas heating or rehab if 5.4b Option 1 and gas space heating</t>
  </si>
  <si>
    <t>Show for new construction if there is gas water that is NOT tankless or rehab if Option 1 if there is gas water heating that is not tankless</t>
  </si>
  <si>
    <t>All B5 - rated fixtures:
- Minimum distance to property line: 2 mounting heights
All B4 - rated fixtures:
- Minimum distance to property line: 1 mounting height
- If installed less than 2 mounting heights from the property line, must be mounted with backlight portion of light output oriented perpendicular and towards the property line. 
All B3 - rated fixtures:
- Minimum distance to property line: 0.5 mounting height
- If installed less than 1 mounting height from the property line, must be mounted with backlight portion of light output oriented perpendicular and towards the property line. 
All B2 - rated fixtures: 
- If installed 0.5 or fewer mounting heights to property line, must be mounted with backlight portion of light output oriented perpendicular and towards the property line. 
All G3 or G4 - rated fixtures:
- Minimum distance to property line: 2 mounting heights, unless mounted with backlight perpendicular to property line.
All G2 - rated fixtures:
- Minimum distance to property line: 1 mounting heights, unless mounted with backlight perpendicular to property line.</t>
  </si>
  <si>
    <t>All installed products meet energy efficiency requirements necessary for project energy performance to be at least 15% better than ASHRAE Standard 90.1-2013, according to the methodology in Appendix G 90.1-2016, excluding on-site power generation.</t>
  </si>
  <si>
    <t>Branch circuit for future electric water heating uses 3-conductor, 10AWG copper wire.</t>
  </si>
  <si>
    <t>Show for new construction, show for rehab Options 1 or 2</t>
  </si>
  <si>
    <t>Show for new construction if there is gas heating, show for rehab if Option 1 and there is gas heating</t>
  </si>
  <si>
    <t>Show for new construction if there is gas water, show for rehab if Option 1 and there is gas water</t>
  </si>
  <si>
    <t>Show if new construction and project has no combustion equipment, show for rehab if Option 2</t>
  </si>
  <si>
    <t>Option 2: Residential demand management</t>
  </si>
  <si>
    <t>Show if 5.5 Option 1 or 2. Hide if 5.5 not used for points.</t>
  </si>
  <si>
    <t>Product data for hot water system that identifies capacity, storage, and control capabilities.</t>
  </si>
  <si>
    <t>Show for 5.5 Option 1</t>
  </si>
  <si>
    <t>The hot water source is considered to be either the in-dwelling hot water heater, the loop of the central hot water system, or the riser pipe from the central hot water system.</t>
  </si>
  <si>
    <t xml:space="preserve"> Requirements are not repeated but 01 81 13 is referenced within respective sections.  </t>
  </si>
  <si>
    <t>Contractor is responsible for all requirements of the 2026 Criteria that are contained throughout these Specifications, including successful compliance with and passage of visual inspections and performance tests by verifying party.</t>
  </si>
  <si>
    <r>
      <t>All landscape plantings</t>
    </r>
    <r>
      <rPr>
        <sz val="11"/>
        <color theme="1"/>
        <rFont val="Calibri"/>
        <family val="2"/>
        <scheme val="minor"/>
      </rPr>
      <t xml:space="preserve"> must be appropriate to the site’s soil and microclimate, and none should be invasive or non-adapted plant species.  </t>
    </r>
  </si>
  <si>
    <t>Criteria 3.2 Site Design for Ecosystem Services</t>
  </si>
  <si>
    <t>All exterior lighting are dimmable to 10% or less of their full light output.</t>
  </si>
  <si>
    <r>
      <t xml:space="preserve">Roofing materials have a minimum 64 SRI (roof slope </t>
    </r>
    <r>
      <rPr>
        <sz val="11"/>
        <color theme="1"/>
        <rFont val="Symbol"/>
        <family val="1"/>
        <charset val="2"/>
      </rPr>
      <t>£</t>
    </r>
    <r>
      <rPr>
        <sz val="11"/>
        <color theme="1"/>
        <rFont val="Calibri"/>
        <family val="2"/>
      </rPr>
      <t xml:space="preserve"> 2:12) or 16 SRI (&gt; 2:12). SRI rating is third-party certified.</t>
    </r>
  </si>
  <si>
    <r>
      <t xml:space="preserve">Roofing materials have a minimum 64 SRI (roof slope </t>
    </r>
    <r>
      <rPr>
        <sz val="11"/>
        <color theme="1"/>
        <rFont val="Symbol"/>
        <family val="1"/>
        <charset val="2"/>
      </rPr>
      <t>£</t>
    </r>
    <r>
      <rPr>
        <sz val="11"/>
        <color theme="1"/>
        <rFont val="Calibri"/>
        <family val="2"/>
      </rPr>
      <t xml:space="preserve"> 2:12) or 32 SRI (&gt; 2:12)</t>
    </r>
    <r>
      <rPr>
        <sz val="11"/>
        <color theme="1"/>
        <rFont val="Calibri"/>
        <family val="2"/>
        <scheme val="minor"/>
      </rPr>
      <t>. SRI rating is third-party certified.</t>
    </r>
  </si>
  <si>
    <t>Replacement service pipes, fittings, solders, and/or flux products are lead-free.</t>
  </si>
  <si>
    <t>X</t>
  </si>
  <si>
    <t>Specifications or control interface and operating instructions for hot water thermal storage and control.</t>
  </si>
  <si>
    <t>Show for 5.5 Option 2</t>
  </si>
  <si>
    <t>Energy management and monitoring products (including smart thermostats, energy monitors, smart electric panels, etc.) meet requirements of residential demand management plan for in-unit residential electrical loads.</t>
  </si>
  <si>
    <t>Submittals, Products</t>
  </si>
  <si>
    <t>Criterion 5.5 not used.</t>
  </si>
  <si>
    <t>Criterion 5.4b not used</t>
  </si>
  <si>
    <t>Criterion 3.11 not used</t>
  </si>
  <si>
    <t>Criterion 3.11 used: 9 points</t>
  </si>
  <si>
    <t>Criterion 3.11 used: 12 points</t>
  </si>
  <si>
    <t>Criterion 4.2 not used</t>
  </si>
  <si>
    <t>Criterion 3.10 not used</t>
  </si>
  <si>
    <t>Option 1: Islandable PV + battery storage</t>
  </si>
  <si>
    <t>Option 2: Off-peak battery storage</t>
  </si>
  <si>
    <t>Option 3: Generator</t>
  </si>
  <si>
    <t>Criterion 5.6: Backup Power</t>
  </si>
  <si>
    <t>Show if 5.6 used for points</t>
  </si>
  <si>
    <t>Show if 5.6 Option 1</t>
  </si>
  <si>
    <t>Product data for battery energy storage system.</t>
  </si>
  <si>
    <t>Show if 5.6 Option 2</t>
  </si>
  <si>
    <t>Show for 5.6 Option 3</t>
  </si>
  <si>
    <t>Solar photovoltaic system is islandable (can continue operating and providing energy when the grid goes down).</t>
  </si>
  <si>
    <t>Battery storage has programming capable of switching on when electric grid goes down.</t>
  </si>
  <si>
    <t>Battery energy storage system is capable of storing off-peak energy.</t>
  </si>
  <si>
    <t>Show if 5.6 Option 3</t>
  </si>
  <si>
    <t>Show if 5.6 Option 3 used for points</t>
  </si>
  <si>
    <t>Connections are installed at the exterior of a building which will be accessible to connect to a generator when the electric grid goes down.</t>
  </si>
  <si>
    <t>Backup generator systems undergo regular fuel testing in accordance with NFPA 110.</t>
  </si>
  <si>
    <t>Criterion 5.7: Renewable Energy</t>
  </si>
  <si>
    <t>Criterion 5.7 not used.</t>
  </si>
  <si>
    <t>Option 1: Strategy A or B</t>
  </si>
  <si>
    <t>Option 1: Strategy C</t>
  </si>
  <si>
    <t>Option 1: Strategy D</t>
  </si>
  <si>
    <t>Option 2</t>
  </si>
  <si>
    <t>Option 3: Strategy A</t>
  </si>
  <si>
    <t>Option 3: Strategy B</t>
  </si>
  <si>
    <t>Show if 5.7 Option 1, Strategy A, B, or D</t>
  </si>
  <si>
    <t>Show if 5.7 used for points</t>
  </si>
  <si>
    <t>Show if 5.7 Option 1 Strategy C</t>
  </si>
  <si>
    <t>Option 3: Strategy A + time-aligned</t>
  </si>
  <si>
    <t>Option 3: Strategy A + same e-grid region</t>
  </si>
  <si>
    <t>Option 3: Strategy A + time-aligned + same e-grid region</t>
  </si>
  <si>
    <t>On-site geothermal energy system is designed to provide at least 30% of total building site energy use.</t>
  </si>
  <si>
    <t>PV installed on rooftops, parking lots, side lots, canopies, or garages. Total installed area equals at least 50% of the usable roof area.</t>
  </si>
  <si>
    <t>Criterion 5.8: Electric Vehicle Charging</t>
  </si>
  <si>
    <t>Show for MF Only, New construction and substantial rehabs</t>
  </si>
  <si>
    <t>Electrical service upgrade exception (substantial rehabs)</t>
  </si>
  <si>
    <t>Transformer exception (new construction)</t>
  </si>
  <si>
    <t>No exceptions claimed.</t>
  </si>
  <si>
    <t>Automatic load management system used</t>
  </si>
  <si>
    <t>Automatic load management system not used</t>
  </si>
  <si>
    <t>Criterion 5.8 not used for optional points.</t>
  </si>
  <si>
    <t>Criterion 5.9 not used.</t>
  </si>
  <si>
    <t>Option 1: Passive cooling - natural ventilation</t>
  </si>
  <si>
    <t>Option 1: Passive cooling - shading</t>
  </si>
  <si>
    <t>Option 2: Thermal modeling pilot pathway</t>
  </si>
  <si>
    <t>Project does not include parking.</t>
  </si>
  <si>
    <t>Project includes 1-19 parking spaces.</t>
  </si>
  <si>
    <t>Project includes 20 or more parking spaces.</t>
  </si>
  <si>
    <t>Project has 40 or more parking spaces, 5% EVSE.</t>
  </si>
  <si>
    <t>Project has 4 or more parking spaces, 50% EV-capable or EV-ready.</t>
  </si>
  <si>
    <t>Product data for Level 2 electric vehicle supply equipment (EVSE) and photos of installed EVSE.</t>
  </si>
  <si>
    <t>Show for new construction and substantial rehabs that include any parking, and for moderate rehabs using 5.8 for optional points.</t>
  </si>
  <si>
    <t>Show for new construction and substantial rehabs that include any parking, and moderate rehabs using EVSE for optional points.</t>
  </si>
  <si>
    <t>Show for new construction and substantial rehabs with 20+ spaces, show for any project using 50% for optional points.</t>
  </si>
  <si>
    <t>Show if using ALMS</t>
  </si>
  <si>
    <t>Show if new construction exception is claimed.</t>
  </si>
  <si>
    <t>Documentation from utility that an additional transformer is needed to meet required electric service capacity.</t>
  </si>
  <si>
    <t>Documentation that an additional transformer cannot be accomodated physically or within the project budget.</t>
  </si>
  <si>
    <t>Installed EVSE connected to an Automatic Load Management System (ALMS) has a minimum capacity of 30 amperes.</t>
  </si>
  <si>
    <t>Show for new construction and substantial rehab with parking, moderate rehab using 5.8 for points.</t>
  </si>
  <si>
    <t>Wire and install a Level 2 EVSE for at least one parking space on the site.</t>
  </si>
  <si>
    <t>Install EV capable, EV ready, or Level 2 EVSE in at least 10% of parking spaces.</t>
  </si>
  <si>
    <t>Hide if NC/SR with less than 20 spaces, and not using 5.8 for points OR for MR not using option 5.8/50% EV ready for points.</t>
  </si>
  <si>
    <t>Install an Automatic Load Management System (ALMS) with sufficient capacity to deliver at least 3.3 kW simultaneously to each EV charging station that will be served by the ALMS. The branch circuit for the ALMS must have a minimum capacity of 40 amperes.</t>
  </si>
  <si>
    <t>Criterion 5.9: Passive Survivability</t>
  </si>
  <si>
    <t xml:space="preserve">Show if 5.9 selected for optional points. </t>
  </si>
  <si>
    <t>Show if 5.9 - Passive cooling/shading is used</t>
  </si>
  <si>
    <t>Show if 5.9 - passive cooling/natural ventilation is used</t>
  </si>
  <si>
    <t>Dwelling unit windows are operable and equipped with an insect screen (at least one window per dwelling unit).</t>
  </si>
  <si>
    <t>Interior blinds in south-facing windows are insulated and have a full-perimeter track.</t>
  </si>
  <si>
    <t>Install at least one window in each dwelling unit that is operable and equipped with an insect screen.</t>
  </si>
  <si>
    <t>Show if 5.9 - Passive cooling/shading is used, CZ 1 or 2</t>
  </si>
  <si>
    <t>Install all measures used in final thermal model.</t>
  </si>
  <si>
    <t>Show for 5.9 option 2</t>
  </si>
  <si>
    <t>Show if 5.9 - Passive cooling/shading is used, CZ 3, 4A, 4B</t>
  </si>
  <si>
    <t>Show if 5.9 - Passive cooling/shading is used, CZ 4C-8</t>
  </si>
  <si>
    <t>Show if passive cooling - shading is used</t>
  </si>
  <si>
    <t>Install measures that shade at least 95% of south-facing windows by June 21.</t>
  </si>
  <si>
    <t>Install measures that shade at least 75% of south-facing windows by June 21.</t>
  </si>
  <si>
    <t>Install measures that shade at least 50% of south-facing windows by June 21.</t>
  </si>
  <si>
    <t xml:space="preserve">All installed products meet energy efficiency requirements necessary for project energy performance to be equivalent or better than ASHRAE Standard 90.1-2013, according to the methodology in Appendix G 90.1-2016. </t>
  </si>
  <si>
    <t>All installed products meet energy efficiency requirements necessary for project to achieve energy performance equivalent to or better than the version of Title 24 under which the project is permitted.</t>
  </si>
  <si>
    <t>All installed products meet energy efficiency requirements necessary for project to achieve energy performance equivalent to or better than the requirements of Energy Outreach Colorado.</t>
  </si>
  <si>
    <t>Show if 5.3 option 1 is selected and ASHRAE path used under 5.2b, and Substantial rehab</t>
  </si>
  <si>
    <t>Criterion 6.1 not used.</t>
  </si>
  <si>
    <t>Criterion 6.1 used for optional points.</t>
  </si>
  <si>
    <t>Materials</t>
  </si>
  <si>
    <t>Criterion 6.1: Product Category Screening</t>
  </si>
  <si>
    <t>Show if 6.1 selected for optional points</t>
  </si>
  <si>
    <t>Strategy used for mandatory compliance.</t>
  </si>
  <si>
    <t>Strategy used for optional points.</t>
  </si>
  <si>
    <t>Strategy not used.</t>
  </si>
  <si>
    <t>Show for 6.2 Strategy A</t>
  </si>
  <si>
    <t>Show for 6.2 Strategy C</t>
  </si>
  <si>
    <t>Show for 6.2 Strategy D</t>
  </si>
  <si>
    <t>Show for 6.2 Strategy E</t>
  </si>
  <si>
    <t>Show for 6.2 Strategy F</t>
  </si>
  <si>
    <t>Documentation of a salvage assessment completed prior to demolition, identifying building materials, soils, and landscaping to be removed and plans to divert at least 35% from landfill.</t>
  </si>
  <si>
    <t>Show for 6.2 Strategy G</t>
  </si>
  <si>
    <t>Show for 6.2 Strategy H</t>
  </si>
  <si>
    <t>Document end-of-use guidance for five product categories, identifying products, locations in the building, installed quantities, anticipated life spans, and recommended actions to salvage them or recocer them for recycling. Include information for specific organizations or businesses that will assist with end of use.</t>
  </si>
  <si>
    <t>Show for 6.2 Strategy I</t>
  </si>
  <si>
    <t>Show for 6.2 Strategy J</t>
  </si>
  <si>
    <t>Show for 6.2 Strategy K</t>
  </si>
  <si>
    <t>Show for 6.2 Strategy L</t>
  </si>
  <si>
    <t>Product data for products with extended producer responsibility programs (e.g., take-back programs). Provide a list of product categories, products, installed quantities, and program information.</t>
  </si>
  <si>
    <t>Document guidance on diassembly methods for installed modular construction elements.</t>
  </si>
  <si>
    <t>Show if any 6.2 is selected except if only Strategy D is selected.</t>
  </si>
  <si>
    <t>Show if D, E, or L are selected under 6.2</t>
  </si>
  <si>
    <t>Always Show</t>
  </si>
  <si>
    <t>Show if D is selected under 6.2</t>
  </si>
  <si>
    <t>Show if 6.2 Strategy E</t>
  </si>
  <si>
    <t>Show if 6.2 Strategy L</t>
  </si>
  <si>
    <t>50% of building square footage integrates off-site, prefabricated volumetric, or panelized manufacturing.</t>
  </si>
  <si>
    <t>Show if E selected for points.</t>
  </si>
  <si>
    <t>Ceilings</t>
  </si>
  <si>
    <t>Doors</t>
  </si>
  <si>
    <t>Millwork</t>
  </si>
  <si>
    <t>Insulation</t>
  </si>
  <si>
    <t>Landscape Paving</t>
  </si>
  <si>
    <t>Furniture</t>
  </si>
  <si>
    <t>Strategy E not used.</t>
  </si>
  <si>
    <t>Provide a list of assemblies in the building that are designed for disassembly. Include their locations in the building, the quantity of recoverable materials, and guidance or diagrams on the disassembly method.</t>
  </si>
  <si>
    <t>Product data for salvaged materials for the following product type including, quantity used, and original source:</t>
  </si>
  <si>
    <t>Show if Strategy E is used.</t>
  </si>
  <si>
    <t>15% of the entire product category below is salvaged:</t>
  </si>
  <si>
    <t>Use modular construction that is also designed for disassembly.</t>
  </si>
  <si>
    <t>Install concrete or steel according to the plan or diagram illustrating areas of the building optimized to reduce the amount used.</t>
  </si>
  <si>
    <t>Enter the three product categories selected:</t>
  </si>
  <si>
    <t>Enter the product category selected:</t>
  </si>
  <si>
    <t>Show if Strategy C selected.</t>
  </si>
  <si>
    <t>Install three standard products according to the design based on the product's dimensions in order to reduce waste to less than 5% of the material used. Use the following three products:</t>
  </si>
  <si>
    <t>Install at least 50% of the square footage of all buildings in the project with industrialized modular construction methods, integrating off-site, prefabricated volumetric, or panelized manufacturing.</t>
  </si>
  <si>
    <t xml:space="preserve">Install salvaged materials for 15% of the following product type: </t>
  </si>
  <si>
    <t>Create and follow a waste-management plan for use during construction that diverts at least 50% of construction waste by weight from landfill.</t>
  </si>
  <si>
    <t>Recycle all waste generated on the site for at least two of the following product waste types: cardboard, wood, drywall, metals, concrete, brick, asphalt, insulation, carpet, plastics.</t>
  </si>
  <si>
    <t>Specify products with extended producer responsibility programs (e.g., take-back programs).</t>
  </si>
  <si>
    <t xml:space="preserve">Train the building manager on any installed products with extended producer responsibility programs (e.g., take-back programs). </t>
  </si>
  <si>
    <t>Create guidance for three assemblies in the building that are designed for disassembly.</t>
  </si>
  <si>
    <t>Show if substantial rehab, pre-1978 building</t>
  </si>
  <si>
    <t>Option 1: Lead paint assessment and abatement</t>
  </si>
  <si>
    <t>Option 2: Lead paint hazard reduction</t>
  </si>
  <si>
    <t>Submit credentials complying with EPA’s Renovation, Repair, and Painting Regulation (RRP) (40 CFR 745) requirements.</t>
  </si>
  <si>
    <t>Criterion 6.3: Reduction of Lead Hazards in Pre-1978 Buildings</t>
  </si>
  <si>
    <t>Show if 6.3 Option 1</t>
  </si>
  <si>
    <t>Show if substantial rehab, pre-1978 building, Option 1</t>
  </si>
  <si>
    <t>Show if 6.3 Option 2</t>
  </si>
  <si>
    <t>Conduct a lead risk assessment or inspection to identify lead hazards. Control identified lead hazards using lead abatement or interim controls. Follow U.S. Environmental Protection Agency (EPA) and state and/or local laws and requirements, where applicable. Check state or local regulations for additional requirements for lead-safe work pertaining to prohibited practices, notification, worker training and certification, and clearance dust training.</t>
  </si>
  <si>
    <t>Follow standard lead treatments defined by HUD as a series of hazard-reduction measures designed to reduce all lead-based paint hazards in a dwelling unit.</t>
  </si>
  <si>
    <t>Ensure that the people testing and remediating lead understand and adhere to lead-safe work practices to minimize and contain dust.</t>
  </si>
  <si>
    <t>Criterion 6.4: Advanced Material Selection</t>
  </si>
  <si>
    <t>Submit VOC level in grams per liter for all adhesives and sealants applied inside the air barrier.</t>
  </si>
  <si>
    <t>Concrete not selected for optional points.</t>
  </si>
  <si>
    <t>Steel not selected for optional points.</t>
  </si>
  <si>
    <t>Wood, noncomposite not selected for optional points.</t>
  </si>
  <si>
    <t>Exterior wall cladding not selected for optional points.</t>
  </si>
  <si>
    <t>2 points - GWP no higher than regional average</t>
  </si>
  <si>
    <t>5 points - GWP 20% lower than regional average.</t>
  </si>
  <si>
    <t>Option 1: Best-in-class flooring standards</t>
  </si>
  <si>
    <t>Option 2: Min. standards + no PFAS in adhesives, coatings, and sealants (no PFAS) [1 point]</t>
  </si>
  <si>
    <t>Option 2: Min. standards + no carpet [1 point]</t>
  </si>
  <si>
    <t>Option 2: Min. standards + no vinyl flooring [1 point]</t>
  </si>
  <si>
    <t>Option 2: Min. standards + no PFAS, no carpet [2 points]</t>
  </si>
  <si>
    <t>Option 2: Min. standards + no PFAS, no vinyl flooring [2 points]</t>
  </si>
  <si>
    <t>Option 2: Min. standards + no carpet, no vinyl flooring [2 points]</t>
  </si>
  <si>
    <t>Option 2: Min. standards + no PFAS, no carpet, no vinyl flooring [3 points]</t>
  </si>
  <si>
    <t>Option 2: Minimum flooring standards (Min. standards)</t>
  </si>
  <si>
    <t>Gypsum wallboard selected for 2 optional points.</t>
  </si>
  <si>
    <t>Exterior wall cladding selected for 2 optional points.</t>
  </si>
  <si>
    <t>Option 2: Intermediate insulation standards</t>
  </si>
  <si>
    <t>Option 3: Minimum insulation standards</t>
  </si>
  <si>
    <t>Option 1: Best-in-class coating standards</t>
  </si>
  <si>
    <t>Option 2: Intermediate coating standards</t>
  </si>
  <si>
    <t>Option 3: Minimum coating standards</t>
  </si>
  <si>
    <t>Option 2: Intermedidate steel standards</t>
  </si>
  <si>
    <t>3.9 Resilient Site Design</t>
  </si>
  <si>
    <t>Wood, composite meets mandatory requirements only.</t>
  </si>
  <si>
    <t>All composite wood products are certified NAF. [2 points] (NAF)</t>
  </si>
  <si>
    <t>50% of composite wood products are certified to FSC. [2 points] (FSC)</t>
  </si>
  <si>
    <t>NAF + FSC [4 points]</t>
  </si>
  <si>
    <t>Gypsum wallboard not selected for optional points.</t>
  </si>
  <si>
    <t>50% of noncomposite wood installed is certified to the FSC standard.</t>
  </si>
  <si>
    <t>Submit verification for adhesives and sealants applied inside the air barrier meeting the CDHP Standard Method for the school or residential scenario (required for 80% by volume).</t>
  </si>
  <si>
    <t>Show if cladding selected for optional points.</t>
  </si>
  <si>
    <t>Product data for exterior wall cladding.</t>
  </si>
  <si>
    <t>Show if Concrete selected for 2 points</t>
  </si>
  <si>
    <t>Show if Concrete selected for 5 points</t>
  </si>
  <si>
    <t>Environmental product declarations (EPDs) for 90% of newly installed concrete, including GWP.</t>
  </si>
  <si>
    <t>Show if Concrete selected for any points</t>
  </si>
  <si>
    <t>Show for Flooring, option 1.</t>
  </si>
  <si>
    <t>Product data for flooring, including verification that VOC emissions meet requirements of DCPH Stndard Method for school or residential scenarios.</t>
  </si>
  <si>
    <t>Show for Flooring, option 2.</t>
  </si>
  <si>
    <t>Show for Flooring option 2 + PFAS</t>
  </si>
  <si>
    <t>Product data for flooring adhesives, coating, and sealants (including pre-applied and site-applied).</t>
  </si>
  <si>
    <t>Product data for 60% of newly installed interior gypsum wallboard, including documentation of compliance with CDPH Standard Method emission requirements.</t>
  </si>
  <si>
    <t>Show for gypsum selected for points</t>
  </si>
  <si>
    <t>Product data for newly installed insulation.</t>
  </si>
  <si>
    <t>Submit VOC level in grams per liter for all interior paints, coatings, and primers.</t>
  </si>
  <si>
    <t>Submit verification for any interior paints, coatings, and primers that meet the CDHP Standard Method for the school or residential scenario.</t>
  </si>
  <si>
    <t>Show for Steel Option 1</t>
  </si>
  <si>
    <t>Show for Steel Option 2</t>
  </si>
  <si>
    <t>Product data for steel, including documentation of production method and percentage of recycled content.</t>
  </si>
  <si>
    <t>Product data for 75% of steel deck, cold-formed steel framing, and structural steel, including documentation of GWP.</t>
  </si>
  <si>
    <t>Product data for wall coverings.</t>
  </si>
  <si>
    <t>Product data for all hardwood plywood, particleboard, medium-density fiberboard (MDF), and these materials within other products (e.g., cabinets and doors). Data must show level of formaldehyde emissions from these products.</t>
  </si>
  <si>
    <t>Include FSC certifications for at least 50% of these products.</t>
  </si>
  <si>
    <t>Show for composite wood FSC for points</t>
  </si>
  <si>
    <t>Show if noncomposite wood selected for optional points.</t>
  </si>
  <si>
    <t>FSC certifications for 50% of installed noncomposite wood.</t>
  </si>
  <si>
    <t>All adhesives and sealants applied inside the air barrier meet VOC limits provided by the most recent version of SCAQMD 1168.</t>
  </si>
  <si>
    <t>80% (by volume) of adhesives and sealants applied inside the air barrier meet the CDHP Standard Method for the school or residential scenario.</t>
  </si>
  <si>
    <t xml:space="preserve">90% of newly installed concrete has a GWP no higher than the regional average. </t>
  </si>
  <si>
    <t>Show if Concrete seleccted for any points</t>
  </si>
  <si>
    <t>90% of newly installed concrete has a GWP 20% lower than the regional average.</t>
  </si>
  <si>
    <t>Regional average GWP may be determined using the most recent Carbon Leadership Forum North American Material Baselines report or using regional industry-average environmental product declarations (EPDs) to determine typical impact values per concrete strength class in the property’s location.</t>
  </si>
  <si>
    <t>Exterior wall cladding is made up of one or a combination of the following: preserved or repaired existing cladding; expanded cord board; natural wood (including heat treated), bamboo, engineered wood, thin brick, natural stone, ceramic, terra-cotta, lime plaster, or fiber cement.</t>
  </si>
  <si>
    <t>90% of all flooring is made up of one or a combination of the following: repaired existing floor; linoleum; solid wood flooring that is FSC-certified or salvaged wood; pre-finished engineered wood or bamboo; pre-finished cork (excluding rubber/cork composite); no floorcovering (e.g., concrete or CLT structural slab without a finish or sealer); ceramic/porcelain tile (no added lead)</t>
  </si>
  <si>
    <t>All flooring products are either an inherently nonemitting source of VOCs (such as unfinished stone or porcelain tile) or have VOC emissions verified as meeting the requirements of the CDPH Standard Method for school or residential scenarios.</t>
  </si>
  <si>
    <t>All flooring adhesives, coating, and sealants, whether pre-applied or site-applied, do not contain PFAS. </t>
  </si>
  <si>
    <t>Site-applied flooring adhesives, coatings, and sealants meet CDPH Standard Method emission requirements and do not contain epoxy or polyurethane.</t>
  </si>
  <si>
    <t>At least 60% of all newly installed interior gypsum wallboard is lightweight gypsum board and meets CDPH Standard Method emission requirements.</t>
  </si>
  <si>
    <t>Show if gypsum selected for points</t>
  </si>
  <si>
    <t>Mineral wool batt insulation (if used) is formaldehyde free.</t>
  </si>
  <si>
    <t>Show if insulation options 1 or 3</t>
  </si>
  <si>
    <t>Foam insulation (if used) has blowing agents with low global warming potential (GWP150)</t>
  </si>
  <si>
    <t>Show if insulation option 1</t>
  </si>
  <si>
    <t>At least 75% of all newly installed above-grade insulation (exterior and interior) is bio-based, such as wood fiber, hemp fiber, cellulose or cotton, hempcrete, or straw.</t>
  </si>
  <si>
    <t>Show if insulation option 2</t>
  </si>
  <si>
    <t>At least 90% of all newly installed above-grade insulation (exterior and interior) is bio-based (wood fiber, hemp fiber, cellulose or cotton, hempcrete, or straw), fiberglass batts, mineral wool batts, and/or unfaced fiberglass or mineral wool boards.</t>
  </si>
  <si>
    <t>Show if paint/coatings option 1</t>
  </si>
  <si>
    <t>Show if paint/coatings option 2</t>
  </si>
  <si>
    <t>Show if paint/coatings options 2 or 3</t>
  </si>
  <si>
    <t>90% (by volume) of all interior pants, coatings, and primers are verified as compliant with CDPH Standard Method for school or residential exposure scenarios.</t>
  </si>
  <si>
    <t>Option 1: Best-in-class insulation standards - electric-arc furnace</t>
  </si>
  <si>
    <t>Option 1: Best-in-class insulation standards - 90% recycled</t>
  </si>
  <si>
    <t>Option 1: Best-in-class insulation standards - combination of electric-arc furnace and 90% recycled.</t>
  </si>
  <si>
    <t>Show for Steel Option 1 - electric-arc furnace.</t>
  </si>
  <si>
    <t>Show if Option 1 - 90% recycled</t>
  </si>
  <si>
    <t>Steel is produced by electric-arc furnace, instead of by blast furnace or basic oxygen furnace.</t>
  </si>
  <si>
    <t>Steel is produced with at least 90% recycled content.</t>
  </si>
  <si>
    <t>Show if option 1 - both types</t>
  </si>
  <si>
    <t>75% of steel deck, cold-formed steel framing, and structural steel has a GWP at least 20% lower than baseline as indicated in the most recent Carbon Leadership Forum North American Material Baselines report.</t>
  </si>
  <si>
    <t>All hardwood plywood, particleboard, medium-density fiberboard (MDF), and these materials within other products (e.g., cabinets and doors) have formaldehyde emissions less than or equal to the thresholds provided by California Air Resources Board (CARB) Phase II Composite Wood Products Airborne Toxic Control Measure and/or Toxic Substances Control Act (TSCA) Title IV.</t>
  </si>
  <si>
    <t>Show if composite NAF for points</t>
  </si>
  <si>
    <t>At least 50% of hardwood plywood, particleboard, medium-density fiberboard (MDF), and these materials within other products (e.g., cabinets and doors) are certified to the Forest Stewardship Council (FSC) standard.</t>
  </si>
  <si>
    <t>At least 50% of noncomposite wood installed as part of the project is certified to the Forest Stewardship Council standard.</t>
  </si>
  <si>
    <t>Show for Flooring, option 2 + no carpet.</t>
  </si>
  <si>
    <t>Show for Flooring option 2 + no vinyl</t>
  </si>
  <si>
    <t>No carpet is installed in building entryways, laundry rooms, bathrooms, kitchens/ kitchenettes, or utility rooms. Walk-off mats manufactured especially for that purpose are acceptable at entryways.</t>
  </si>
  <si>
    <t>No rubber or rubber–cork flooring made with tire-derived crumb rubber is installed.</t>
  </si>
  <si>
    <t>No carpet with intentionally added PFAS stain-repellant treatments is installed.</t>
  </si>
  <si>
    <t>No vinyl flooring is installed anywhere in the project.</t>
  </si>
  <si>
    <t>No carpet is installed anywhere in the project.</t>
  </si>
  <si>
    <t>Fluid-applied finish floors are only installed in spaces that are not regularly occupied, such as mechanical rooms.</t>
  </si>
  <si>
    <t>Show for Flooring, option 2, hide for if both no carpet and no vinyl installed.</t>
  </si>
  <si>
    <t>Show for Flooring, option 2, hide if no carpet installed.</t>
  </si>
  <si>
    <t xml:space="preserve">Show for Flooring, option 2, hide if no carpet installed </t>
  </si>
  <si>
    <t>Two-part spray polyurethane foam is installed in limited scope to establish a sealed air barrier. It is only used if no other viable material options are available.</t>
  </si>
  <si>
    <t>Do not install any wall coverings that contain vinyl.</t>
  </si>
  <si>
    <t>As of October 9, 2025, maximum VOC limits are:</t>
  </si>
  <si>
    <t>- Carpet pad adhesives: 50 g/L
- Wood flooring adhesives: 120 g/L
- Rubber floor adhesives: 60 g/L
- Subfloor adhesives: 50 g/L
- Vinyl composition tile and asphalt tile adhesives: 50 g/L
- Drywall and panel adhesives: 50 g/L
- Cove base adhesives: 50 g/L
- Multipurpose construction adhesives: 70 g/L
- Structural glazing adhesives: 100 g/L
- Structural wood member adhesives: 140 g/L
- Architectural sealants - clear, paintable, and immediately water-resistant: 250 g/L
- Architectural sealant primers - nonporous: 250 g/L
- Architectural sealant primers - porous: 775 g/L</t>
  </si>
  <si>
    <t>- Primers, sealers, and undercoatings: 100 g/L
- Coatings, flats and non-flats, and floor: 50 g/L
- Rust-preventative coatings: 100 g/L
- Wood coatings: 275 g/L
- Stains, interior: 250 g/L
- Tub and tile refinishing coatings: 420 g/L</t>
  </si>
  <si>
    <t>Criterion 6.5: Recycling Storage</t>
  </si>
  <si>
    <t>Criterion 6.5 not used.</t>
  </si>
  <si>
    <t>Show if 6.5 claimed for points and municipal recycling is present.</t>
  </si>
  <si>
    <t>Show if 6.5 claimed for points, municipal recycling is present - SF and MF</t>
  </si>
  <si>
    <t>Show if 6.5 claimed for points, municipal recycling is present - MF only</t>
  </si>
  <si>
    <t>Show if 6.5 claimed for points and municipal recycling is present - SF and MF</t>
  </si>
  <si>
    <t>Provide separate bins for the collection of trash and recycling in all shared community rooms.</t>
  </si>
  <si>
    <t>Provide separate bins for the collection of trash and recycling in each dwelling unit.</t>
  </si>
  <si>
    <t>On each floor, provide room for separate bins for trash and recycling or install separate trash and recycling chutes.</t>
  </si>
  <si>
    <t>Provide clear signage and labeling to distinguish recycling bins from general trash bins at all communal recycling and trash sites.</t>
  </si>
  <si>
    <t>Show if New Construction, Radon Zone 1</t>
  </si>
  <si>
    <t>Show if Substantial Rehab, Radon Zone 1</t>
  </si>
  <si>
    <t>Healthy Living Environment</t>
  </si>
  <si>
    <t>Criterion 7.1: Clean Air - Radon Testing and Mitigation</t>
  </si>
  <si>
    <t>Show if new construction, Zone 1, no exceptions.</t>
  </si>
  <si>
    <t>Multifamily building has a parking garage adjacent to occupiable space that is attached to a foundation system, and elects to meet ASHRAE Standard 62.1-2022, Section 5.2 in lieu of mandatory EGC requirements under Criterion 7.1.</t>
  </si>
  <si>
    <t>Show if new construction, Zone 1, exception claimed</t>
  </si>
  <si>
    <t>Photographs of installed radon-resistant construction features: below slab, vent pipe, and adjacent electrical outlet.</t>
  </si>
  <si>
    <t>Show if Substantial rehab, MF, Zone 1</t>
  </si>
  <si>
    <t>Show if Substantial rehab, SF, Zone 1</t>
  </si>
  <si>
    <t>Pre-construction test results (conducted by a radon professional in accordance with ANSI-AARST MA-MFLB-2023). If test results exceed 4 pCi/L (picocuries per liter), submit photographs of installed radon-reduction measures outlined in ANSI-AARST SGM-MFLB-2023.</t>
  </si>
  <si>
    <t>Pre-construction test results (conducted by a radon professional in accordance with ANSI-AARST MAH-2023). If test results exceed 4 pCi/L (picocuries per liter), submit photographs of installed radon-reduction measures outlined in ANSI-AARST SGM-SF-2023.</t>
  </si>
  <si>
    <t>Install a vertical vent pipe with a junction box within 10 feet of an electrical outlet.</t>
  </si>
  <si>
    <t>Post-construction test results (conducted by a radon professional in accordance with ANSI-AARST MA-MFLB-2023). If test results exceed 4 pCi/L (picocuries per liter) and exceed pre-construction test results, submit photographs of installed radon-reduction measures outlined in ANSI-AARST SGM-MFLB-2023.</t>
  </si>
  <si>
    <t>Post-construction test results (conducted by a radon professional in accordance with ANSI-AARST MAH-2023). If test results exceed 4 pCi/L (picocuries per liter) and exceed pre-construction test results, submit photographs of installed radon-reduction measures outlined in ANSI-AARST SGM-SF-2023 or ASTM E2121.</t>
  </si>
  <si>
    <t>Conduct a post-construction test for radon by a radon professional in accordance with ANSI-AARST MA-MFLB-2023. If test results exceed 4 pCi/L (picocuries per liter) and exceed pre-construction test results, install radon-reduction measures outlined in ANSI-AARST SGM-MFLB-2023.</t>
  </si>
  <si>
    <t>Conduct a post-construction test for radon by a radon professional in accordance with ANSI-AARST MAH-2023). If test results exceed 4 pCi/L (picocuries per liter) and exceed pre-construction test results, submit photographs of installed radon-reduction measures outlined in ANSI-AARST SGM-SF-2023 or ASTM E2121.</t>
  </si>
  <si>
    <t>Show if moderate or substantial rehab</t>
  </si>
  <si>
    <t>Project has no combustion equipment.</t>
  </si>
  <si>
    <t>Project's combustion equipment is located only in detached utility buildings or nonenclosed spaces.</t>
  </si>
  <si>
    <t>Existing combustion appliances and/or equipment are not located in conditioned space.</t>
  </si>
  <si>
    <t>Existing combustion appliactions and/or equipment are power-vented or direct-vented.</t>
  </si>
  <si>
    <t>Existing combustion appliactions and/or equipment are scheduled for replacement.</t>
  </si>
  <si>
    <t>Criterion 7.2: Clean Air - Combustion Equipment</t>
  </si>
  <si>
    <t>Show if no exceptions claimed to 7.2</t>
  </si>
  <si>
    <t>Report results of combustion safety testing prior to and after the retrofit for central systems and for 10% of individual dwelling-unit systems.</t>
  </si>
  <si>
    <t>Show if rehab and no exceptions claimed to 7.2-rehabs</t>
  </si>
  <si>
    <t>Carbon monoxide alarms are hard-wired with battery backup.</t>
  </si>
  <si>
    <t>Product data for any new combustion appliacnes, water heating, and space heating equipment showing compliant venting.</t>
  </si>
  <si>
    <t>New combustion appliances, water heating, and space heating equipment is power-vented or direct-vented.</t>
  </si>
  <si>
    <t xml:space="preserve">Install one hard-wired carbon monoxide (CO) alarm with battery backup function for each sleeping zone and placed per National Fire Protection Association (NFPA) 72.  </t>
  </si>
  <si>
    <t>Show if no exceptions claimed to 7.2 - rehabs</t>
  </si>
  <si>
    <t>Conduct combustion safety testing prior to and after the retrofit for central systems and for 10% of individual dwelling-unit systems, using either: 
1) RESNET Standard for Combustion Safety Testing and Work Scope
2) BPI Combustion Appliance and Fuel Distribution System Inspection
3) (California only) Multifamily Home Energy Retrofit Coordinating Committee (MF HERCC) Combustion Safety Testing Protocols for Existing Multifamily Buildings.
Report any deficiencies immediately to the owner or owner’s representative if any system fails testing.</t>
  </si>
  <si>
    <t>Project does not include garage space for vehicles.</t>
  </si>
  <si>
    <t>Project includes garage space for vehicles (open or enclosed).</t>
  </si>
  <si>
    <t>Criterion 7.3: Clean Air - Garage Isolation and Vehicle Pollution Management</t>
  </si>
  <si>
    <t>Garage space is an open parking structure (as defined by code).</t>
  </si>
  <si>
    <t>Garage space is mechanically vented.</t>
  </si>
  <si>
    <t xml:space="preserve">Photos documenting signage in parking and drop-off areas prohibiting vehicles on the property from idling longer than two minutes. </t>
  </si>
  <si>
    <t>Hide if garage is mechanically vented, open parking structure, if there is no garage, or if exceptions are not claimed to 7.2. Otherwise show.</t>
  </si>
  <si>
    <t>Install visible signage in parking and drop-off areas prohibiting vehicles on the property from idling longer than two minutes.</t>
  </si>
  <si>
    <t>Hide if no garage for vehicle parking</t>
  </si>
  <si>
    <t>Visually inspect all common walls and ceilings between attached garages and conditioned spaces to ensure they are air-sealed before insulation is installed.</t>
  </si>
  <si>
    <t>HVAC systems for garages are completely separate from HVAC systems serving conditioned interior spaces. Do not install ductwork or air-handling equipment for conditioned interior spaces in a garage.</t>
  </si>
  <si>
    <t>Sections Represented in 
01 81 13</t>
  </si>
  <si>
    <t>Sustainability Requirements</t>
  </si>
  <si>
    <t xml:space="preserve">27 10 00 </t>
  </si>
  <si>
    <t xml:space="preserve"> Planting</t>
  </si>
  <si>
    <t xml:space="preserve">01 57 13 </t>
  </si>
  <si>
    <t xml:space="preserve"> Plants</t>
  </si>
  <si>
    <t xml:space="preserve">22 14 00 </t>
  </si>
  <si>
    <t xml:space="preserve">33 49 00 </t>
  </si>
  <si>
    <t>32 00 00</t>
  </si>
  <si>
    <t xml:space="preserve">32 16 00 </t>
  </si>
  <si>
    <t>07 72 73</t>
  </si>
  <si>
    <t>07 30 00</t>
  </si>
  <si>
    <t>07 40 00</t>
  </si>
  <si>
    <t>10 73 00</t>
  </si>
  <si>
    <t>Protective Covers</t>
  </si>
  <si>
    <t>32 12 00</t>
  </si>
  <si>
    <t>32 14 00</t>
  </si>
  <si>
    <t>Unit P aving</t>
  </si>
  <si>
    <t>Cement Concrete Sidewalk, Curbs, and Gutters</t>
  </si>
  <si>
    <t>10 71 19</t>
  </si>
  <si>
    <t>Flood Barriers</t>
  </si>
  <si>
    <t>22 11 00</t>
  </si>
  <si>
    <t xml:space="preserve">22 67 19
.16 </t>
  </si>
  <si>
    <t>Ion-Exchange Water Treatment Systems</t>
  </si>
  <si>
    <t>28 45 00</t>
  </si>
  <si>
    <t>07 00 00</t>
  </si>
  <si>
    <t>Criteria Selection &amp; Spec Matrix</t>
  </si>
  <si>
    <t>27 00 00</t>
  </si>
  <si>
    <t>33 00 00</t>
  </si>
  <si>
    <t>Show for New construction and substantial rehab</t>
  </si>
  <si>
    <t xml:space="preserve">Show for moderate rehab  </t>
  </si>
  <si>
    <t>Criterion 7.5 not used.</t>
  </si>
  <si>
    <t>Kitchen mechanical exhaust included.</t>
  </si>
  <si>
    <t>Bathroom mechanical exhaust included.</t>
  </si>
  <si>
    <t>Whole-house mechanical ventilation inluded.</t>
  </si>
  <si>
    <t>Kitchen and bathroom mechanical exhaust included.</t>
  </si>
  <si>
    <t>Kitchen exhaust and whole-house ventilation included.</t>
  </si>
  <si>
    <t>Bathroom exhaust and whole-house ventilation included.</t>
  </si>
  <si>
    <t>Kitchen exhaust, bathroom exhaust, and whole-house ventilation included.</t>
  </si>
  <si>
    <t>Show for moderate rehab, more than 4 stories</t>
  </si>
  <si>
    <t>Common space mechanical ventilation not claimed for points.</t>
  </si>
  <si>
    <t>Common space mechanical ventilation used to earn 3 points.</t>
  </si>
  <si>
    <t>Criterion 7.5: Clean Air - Ventilation</t>
  </si>
  <si>
    <t>Show for new construction and substantial rehab, show for moderate rehab if any measures selected for points.</t>
  </si>
  <si>
    <t>Show for new construction and substantial rehab, show for moderate rehab if kitchen exhaust selected for points.</t>
  </si>
  <si>
    <t>Show for substantial rehab/new construction if Option 2: advanced building certification under Criterion 5.3 is selected. Show for moderate rehab if previous is true and kitchen exhaust is selected for points.</t>
  </si>
  <si>
    <t>Show for new construction and substantial rehab, show for moderate rehab if bathroom exhaust selected for points.</t>
  </si>
  <si>
    <t>Show for new construction and substantial rehab, show for moderate rehab if whole house ventilation selected for points.</t>
  </si>
  <si>
    <t>Show for new construction and substantial rehab four stories or more, show for moderate rehab four stories or more if common area ventilation selected for points.</t>
  </si>
  <si>
    <t>Show for new construction/substantial rehab, and maybe moderate rehab if something is selected for points?</t>
  </si>
  <si>
    <t>Submit product data for real-time data logging equipment for systems delivering 2,000 CFM or more of outdoor air.</t>
  </si>
  <si>
    <t>In-unit kitchen mechanical exhaust system(s) comply with ASHRAE 62.2-2022, sections 5 and 7.</t>
  </si>
  <si>
    <t>Bathroom mechanical exhaust system(s) comply with ASHRAE 62.2-2022, sections 5 and 7. Fans serving individual bathrooms are ENERGY STAR certified.
- If bath fans do not run continuously, provide controls that ensure adequate run time.</t>
  </si>
  <si>
    <t>Whole-house mechanical ventilation system complies with ASHRAE 62.2-2022, sections 4 and 7 (excluding section 4.2).</t>
  </si>
  <si>
    <t>Mechanical ventilation system(s) serving hallways, stairwells, and common/amenity spaces comply with ASHRAE 62.2-2022.</t>
  </si>
  <si>
    <t>For systems delivering 2,000 CFM or more of outdoor air, provide data logging equipment and alarms capable of providing real-time air-volume measurements to indicate when flow varies by +/- 15% of design value.</t>
  </si>
  <si>
    <t>Install in-unit kitchen mechanical exhaust system(s) in accordance with ASHRAE 62.2-2022, sections 5 and 7 and manufacturer's recommendations.</t>
  </si>
  <si>
    <t>Or, if no combustion-fueled appliances are located within the dwelling unit, install heat- or energy-recovery ventilator or a ceiling- or wall-mounted fan exhausting kitchen air to the outdoors, in accordance with the manufacturer's recommendations.</t>
  </si>
  <si>
    <t>Install whole-house mechanical ventilation system in accordance with ASHRAE 62.2-2022, sections 4 and 7 (excluding section 4.2) and manufacturer's recommendations.</t>
  </si>
  <si>
    <t>Install bathroom mechanical exhaust system(s) in accordance with ASHRAE 62.2-2022, sections 5 and 7 and manufacturer's recommendations. If bath fans do not run continuously, install them with controls that ensure adequate run time.</t>
  </si>
  <si>
    <t>Install all mechanical exhaust ventilation systems to terminate outdoors. These systems may not terminate in attics or interstitial spaces.</t>
  </si>
  <si>
    <t>Clean, seal, balance, and right-size rooftop fans for all existing central ventilation systems and associated ductwork.</t>
  </si>
  <si>
    <t>Project includes a newly installed central forced-air HVAC system.</t>
  </si>
  <si>
    <t>Project does not include a newly installed central forced-air HVAC system.</t>
  </si>
  <si>
    <t>Criterion 7.6: Clean Air - Indoor Air Filtration</t>
  </si>
  <si>
    <t>Product data for HVAC system filter.</t>
  </si>
  <si>
    <t>Show if new central HVAC system.</t>
  </si>
  <si>
    <t>Filter for newly-installed central forced-air HVAC system is at least MERV 13.</t>
  </si>
  <si>
    <t>Criterion 7.7 not used.</t>
  </si>
  <si>
    <t>Option 1: Management of construction pollution.</t>
  </si>
  <si>
    <t>Option 2: Indoor AirPlus</t>
  </si>
  <si>
    <t>Criterion 7.7: Clean Air - Enhanced IAQ</t>
  </si>
  <si>
    <t>Show if 7.7 Option 2</t>
  </si>
  <si>
    <t>Certificates showing that each dwelling unit meets the requirements of the EPA Indoor AirPlus program.</t>
  </si>
  <si>
    <t>Show if 7.7 Option 1</t>
  </si>
  <si>
    <t>In all dwelling units, seal all heating, cooling, and ventilation ducts and returns throughout construction to prevent dust, harmful particles, and other construction-related pollution from entering.</t>
  </si>
  <si>
    <t>Show if located in 1A, 2A, 3A, 4A and following 5.3 advanced energy performance</t>
  </si>
  <si>
    <t>Show if not located in 1A, 2A, 3A, or 4A and following 5.3.</t>
  </si>
  <si>
    <t>Option 1: Dedicated dehumidification system</t>
  </si>
  <si>
    <t>Option 2: Dehumidification readiness</t>
  </si>
  <si>
    <t>Option 3: ERV or HRV (unitized)</t>
  </si>
  <si>
    <t>Option 3: ERV or HRV (central)</t>
  </si>
  <si>
    <t>Criterion 7.8: Moisture - Dehumidification</t>
  </si>
  <si>
    <t>Show if required or selected for optional points.</t>
  </si>
  <si>
    <t>Show if Option 1 selected.</t>
  </si>
  <si>
    <t xml:space="preserve">Product data for supplemental dehumidification equipment. </t>
  </si>
  <si>
    <t>Show if Option 2 selected.</t>
  </si>
  <si>
    <t>Photos documenting dehumidification readiness measures, including dedicated space, drains, and electrical hook-ups.</t>
  </si>
  <si>
    <t>Show if Option 3 selected.</t>
  </si>
  <si>
    <t>Product data for energy-recovery ventilator (ERV) or heat-recovery ventilator (HRV).</t>
  </si>
  <si>
    <t>Written statement from mechanical engineer attesting that buildings and systems have been designed to ensure that year-round interior relative humidity will not exceed 50% in the winter and 60% in the summer.</t>
  </si>
  <si>
    <t>Condensation evaluation for window-to-wall connections and at any non-thermally-broken metal penetrations through the exterior envelope, or Passive House thermal bridge modeling report (if pursuing Passive House certification).</t>
  </si>
  <si>
    <t>Narrative summarizing H/ERV control strategies useed to manage year-round interior relative humidity.</t>
  </si>
  <si>
    <t>Drawings of H/ERV system(s) showing relative humidity monitors in return-air ducts at the H/ERV to monitor relative humidity.</t>
  </si>
  <si>
    <t>Supplemental dehumidification equipment is capable of keeping relative humidity at or below 60%.</t>
  </si>
  <si>
    <t>Show if Options 1 or 3 are selected for optional points.</t>
  </si>
  <si>
    <t>Energy-recovery ventilator (ERV) includes moisture recovery.</t>
  </si>
  <si>
    <t>Show if Option 3, unitized</t>
  </si>
  <si>
    <t>Show if Option 3, central</t>
  </si>
  <si>
    <t>Unitized ERV system must have the capability to boost flow rates during periods of high interior humidity.</t>
  </si>
  <si>
    <t>Centralized ERV system must have the capacity to partially bypass the energy-recovery core or slow down the enthalpy wheel during periods of high interior humidity.</t>
  </si>
  <si>
    <t>Show if Options 2 or 3 are selected for optional points.</t>
  </si>
  <si>
    <t>In each dwelling unit, install a drain and electrical hook-up compatible with a supplemental dehumidification system. Provide a dedicated space adjacent to the drain and hook-up for a future supplemental dehumidification system.</t>
  </si>
  <si>
    <t>Install an energy-recovery ventilator (ERV) or heat-recovery ventilator (HRV) that serves every dwelling unit.</t>
  </si>
  <si>
    <t>Size cooling systems to ensure dehumidification capacity is maximized, given the expected loads in the apartments.</t>
  </si>
  <si>
    <t>Install relative humidity monitors in return-air ducts at the ERV or HRV.</t>
  </si>
  <si>
    <t>Show for rehabs</t>
  </si>
  <si>
    <t>Project is on a raised-pier foundation with no foundation walls.</t>
  </si>
  <si>
    <t>Criterion 7.9a: Managing Moisture in the Building Enclosure - New Construction</t>
  </si>
  <si>
    <t>Show for new construction.</t>
  </si>
  <si>
    <t>Product data for polyethylene sheeting vapor retarder.</t>
  </si>
  <si>
    <t>Polyethylene sheeting used as a vapor retarder beneath any new or replacement concrete slabs (including basements, crawl spaces, or slab on grade construction) shall be at least 6mm thick.</t>
  </si>
  <si>
    <t>Fully flash and lap all wall and roof penetrations, including windows and doors.</t>
  </si>
  <si>
    <t>Install roof overhangs, gutters, downspouts, and/or other strategies to divert bulk water away from wall systems and onto a downward slope at least 5 feet from the foundation— or, if relying on underground catchment systems, at least 10 feet from the foundation.</t>
  </si>
  <si>
    <t xml:space="preserve">Properly install weather barriers, including flashing and drainage planes, to help direct water away from wall cavities. </t>
  </si>
  <si>
    <t xml:space="preserve">Install flashing at the bottom of exterior walls, along with a continuous, fully sealed drainage plane behind exterior cladding that laps over the flashing. </t>
  </si>
  <si>
    <t>Include weep holes, weep screed, or an equivalent drainage system appropriate to the assembly type and materials.</t>
  </si>
  <si>
    <t>Hide if slab exception</t>
  </si>
  <si>
    <t>For projects with new concrete slab (for basements, crawl spaces, or slab on grade construction), install a capillary break as follows:
- 4-inch layer of ½-inch diameter or greater clean aggregate
OR a 4-inch uniform layer of sand overlain with a layer or strips of geotextile drainage matting installed according to the manufacturer’s instructions
- Immediately above the capillary break, install insulation as necessary.
- Above that, install at least 6-mil polyethylene sheeting overlapped at least 6 inches at the seams to serve as a vapor retarder in direct contact with the slab above.</t>
  </si>
  <si>
    <t>Polyethylene sheeting used as a vapor retarder in crawl spaces (with no concrete slab) shall be at least 8mm thick and cross-laminated.</t>
  </si>
  <si>
    <t>Criterion 7.9b: Managing Moisture in the Building Envelope - Rehabilitation</t>
  </si>
  <si>
    <t>List of repairs and remediations that will be included in the scope of work based on the property assessment, indicating any that must occur beforer the rehab begins.</t>
  </si>
  <si>
    <t>Show if substantial rehab.</t>
  </si>
  <si>
    <t>Show if moderate rehab.</t>
  </si>
  <si>
    <t>The assessment should look for:
- Water stains or wet spots
- Musty odors
- Foundation cracks and evidence of seepage
- Roof leaks
- Plumbing leaks
- Condensation in attics, and in or around windows and doors
- Moisture damage near all envelope penetrations, including windows and doors; utility hookups; and mechanical, electrical, and plumbing systems</t>
  </si>
  <si>
    <t>Perform a property assessment, examining the interior and exterior of all buildings in the scope of work for evidence of moisture problems. Repair or remediate all moisture problems discovered.</t>
  </si>
  <si>
    <t>Perform a property assessment, examining the interior and exterior of all building assemblies in the scope of work for evidence of moisture problems. Repair or remediate all moisture problems discovered.</t>
  </si>
  <si>
    <t>Provide a continuous housewrap/weather-resistive barrier on exterior walls, with sheets lapped shingle-style to prevent bulk water from penetrating the wall assembly or being introduced through window or door openings or through other penetrations. Alternatively, install a fluid-applied weather-resistive barrier in accordance with manufacturer instructions. Taped systems such as Zip, Force Field, and others are acceptable.</t>
  </si>
  <si>
    <t>Prior to any exterior finish being installed, integrate flashings with the weather-resistive barrier and drainage plane to prevent bulk water from entering the exterior wall assembly. This must be done at roof–wall intersections and wall penetrations—including but not limited to plumbing, electrical, vents, and HVAC refrigerant lines in addition to windows and doors. Include kick-out flashing where a sloped-roof eave terminates in a wall with siding, stucco, or other applied finish apart from brick veneer.</t>
  </si>
  <si>
    <t>For sloped roofs, install drip edge at the entire perimeter of the roof.</t>
  </si>
  <si>
    <t>At roof–wall intersections, maintain a minimum 2-inch clearance (or other if recommended by the manufacturer) between wall cladding and roofing materials. Install flashing along the intersection and use kick-out flashing as noted above for wall systems.</t>
  </si>
  <si>
    <t>Show for moderate rehab</t>
  </si>
  <si>
    <t>Criterion 7.10 Managing Moisture: Bath, Kitchen, and Laundry Assemblies</t>
  </si>
  <si>
    <t>Cement board or fiber-cement board installed behind tub and shower enclosures (excluding one-piece fiberglass tubs or shower enclosures) meet one of the following:
- ASTM C1288
- ISO 8336, Category C
- Listed as an acceptable material in the ENERGY STAR MFNC National Water Management System Requirements</t>
  </si>
  <si>
    <t>Product documentation for all cement board or fiber-cement board installed behind tub and shower enclosures.</t>
  </si>
  <si>
    <t>Cement board or fiber-cement board installed behind tub and shower enclosures is not paper-faced.</t>
  </si>
  <si>
    <t>Install only approved materials behind tub and shower enclosures, as described in Part 2 - Products.</t>
  </si>
  <si>
    <t>Bathrooms, kitchens, and laundry rooms are included in scope of work.</t>
  </si>
  <si>
    <t>Bathrooms, kitchens, and laundry rooms are not included in scope of work.</t>
  </si>
  <si>
    <t>Bathrooms only are included in the scope of work.</t>
  </si>
  <si>
    <t>Kitchens and/or laundry rooms only are included in the scope of work.</t>
  </si>
  <si>
    <t>Hide if bath not in rehab scope.</t>
  </si>
  <si>
    <t>Hide if bath, kitchen, or laundry not in rehab scope.</t>
  </si>
  <si>
    <t>Criterion 7.11: Reducing Allergens and Disease Vectors - Integrated Pest Management</t>
  </si>
  <si>
    <t>Submit product data for low-VOC caulking or other low-hazard sealing methods including window screens, door sweeps, escutcheon plates, and rodent- and corrosion-proof screens for openings greater than ¼ inch.</t>
  </si>
  <si>
    <t>Screens used to cover openings greater than 1/4 inch are rodent- and corrosion-proof, made of copper, stainless steel mesh, or rigid metal cloth.</t>
  </si>
  <si>
    <t>Caulking used to seal wall, floor, and joint penetrations is low VOC.</t>
  </si>
  <si>
    <t xml:space="preserve">Seal all wall, floor, and joint penetrations with low-VOC caulking or other low-hazard sealing methods, such as screens, door sweeps, escutcheon plates, or elastomeric sealants, to prevent pest entry. </t>
  </si>
  <si>
    <t>Thoroughly seal entry points under kitchen and bathroom sinks to prevent pest entry.</t>
  </si>
  <si>
    <t xml:space="preserve">Use rodent- and corrosion-proof screens (copper, stainless steel mesh, or rigid metal cloth) for openings greater than ¼ inch (about 2/3 centimeter). </t>
  </si>
  <si>
    <t>Criterion 7.12a not used.</t>
  </si>
  <si>
    <t>Option 1: Outdoor noise abatement</t>
  </si>
  <si>
    <t>Option 2: Indoor sources of noise</t>
  </si>
  <si>
    <t>Criterion 7.12b not used.</t>
  </si>
  <si>
    <t>Show for new construction, 7.12a Option 1</t>
  </si>
  <si>
    <t>Show for new construction, 7.12a Option 2</t>
  </si>
  <si>
    <t>Windows have Outdoor-Indoor Transmission Class (OITC) rating of at least 30.</t>
  </si>
  <si>
    <t>Separation walls have Sound Transmission Class (STC) rating of at least 50 or Apparent Sound Transmission Class (ASTC) of at least 45.</t>
  </si>
  <si>
    <t>Floor and ceiling assemblies between dwelling units have Impact Insulation Class (IIC) rating of at least 50 or Apparent Impact Insulation Class (AIIC) of at least 45.</t>
  </si>
  <si>
    <t>Option 1: Outdoor noise assessment and abatement plan</t>
  </si>
  <si>
    <t>Option 2: Outdoor noise abatement - minimal approach</t>
  </si>
  <si>
    <t>Option 2: Outdoor noise abatement - advanced approach</t>
  </si>
  <si>
    <t>Show for rehab</t>
  </si>
  <si>
    <t>Show for rehab, 7.12b Option 1</t>
  </si>
  <si>
    <t>Show for rehab, 7.12b Option 2 - Minimal Approach</t>
  </si>
  <si>
    <t>Show for rehab, 7.12b Option 2 - Advanced Approach</t>
  </si>
  <si>
    <t>Documentation of noise assessment and site-specific noise-abaement plan in accordance with HUD regulation 24 CFR Part 51, Subpart B.</t>
  </si>
  <si>
    <t>Show for rehab, 7.12b Option 3</t>
  </si>
  <si>
    <t>Documentation showing bedroom party walls meet requirements of ICC G2-2010 Guideline for Acoustics and verification of Grade achieved.</t>
  </si>
  <si>
    <t>Show for rehab Options 2 oe 3</t>
  </si>
  <si>
    <t>Exterior walls have composite Outdoor-Indoor Transmission Class (OITC) rating of at least 40.</t>
  </si>
  <si>
    <t>Exterior walls have composite Outdoor-Indoor Transmission Class (OITC) rating of at least 45.</t>
  </si>
  <si>
    <t>Windows have Outdoor-Indoor Transmission Class (OITC) rating of at least 35.</t>
  </si>
  <si>
    <t>Bedroom party walls meet requirements of ICC G2-2010 Guideline for Acoustics, Grade A.</t>
  </si>
  <si>
    <t>Bedroom party walls meet requirements of ICC G2-2010 Guideline for Acoustics, Grade B.</t>
  </si>
  <si>
    <t>Show for rehab, 7.12b Option 3 - Grade A</t>
  </si>
  <si>
    <t>Show for rehab, 7.12b Option 3 - Grade B</t>
  </si>
  <si>
    <t>Option 3: Interior sources of noise in bedrooms - Grade B</t>
  </si>
  <si>
    <t>Option 3: Interior sources of noise in bedrooms - Grade A</t>
  </si>
  <si>
    <t>Install and verify that bedroom party walls meet requirements of ICC G2-2010 Guideline for Acoustics, Grade A.</t>
  </si>
  <si>
    <t>Install and verify that bedroom party walls meet requirements of ICC G2-2010 Guideline for Acoustics, Grade B.</t>
  </si>
  <si>
    <t>Conduct a noise assessment and provide a site-specific noise-abatement plan that covers general noise mitigation techniques in accordance with U.S. Department of Housing and Urban Development (HUD) regulation 24 CFR Part 51, Subpart B.</t>
  </si>
  <si>
    <t>Show for Multifamily, New Construction and Substantial Rehabs only</t>
  </si>
  <si>
    <t>Strategy used.</t>
  </si>
  <si>
    <t>12.</t>
  </si>
  <si>
    <t>Criterion 7.13: Personal and Social Safety</t>
  </si>
  <si>
    <t>Criterion: 7.12a Sensory and Rest Friendly: Noise Reduction, New Construction</t>
  </si>
  <si>
    <t>Show if strategy A</t>
  </si>
  <si>
    <t>Show if strategy B</t>
  </si>
  <si>
    <t>Product data for “peephole” door viewers or dwelling-unit entry doors, showing they include windows.</t>
  </si>
  <si>
    <t>Show if strategy D</t>
  </si>
  <si>
    <t>Show if strategy F</t>
  </si>
  <si>
    <t>Show if strategy G</t>
  </si>
  <si>
    <t>Show if Strategy H</t>
  </si>
  <si>
    <t>Product data for drinking fountain or hydration station.</t>
  </si>
  <si>
    <t>Strategy used - more than 12 dwelling units.</t>
  </si>
  <si>
    <t>Strategy used - 12 or fewer dwelling units.</t>
  </si>
  <si>
    <t>Show if strategy I, more than 12 dwelling units.</t>
  </si>
  <si>
    <t>Product data for lockable package storage or lockers.</t>
  </si>
  <si>
    <t>Show if strategy I, less than 12 dwelling units.</t>
  </si>
  <si>
    <t>Product data for lockable mailboxes.</t>
  </si>
  <si>
    <t>Package storage or lockers can be locked.</t>
  </si>
  <si>
    <t>Mailboxes can be locked.</t>
  </si>
  <si>
    <t>Show for strategy D</t>
  </si>
  <si>
    <t>Barriers, fences, and gates surrounding the property balance security with connection to the surrounding community, avoiding tall, fortress-like fences or walls.</t>
  </si>
  <si>
    <t>Construct public spaces to meet the following:
- Avoid blind corners (using window slits, transparent materials, convex mirrors, or other design features at corners)
- Common-space paths wide enough for two people to comfortably pass. 
- No more than 20% of public spaces and common areas include blind corners for the path of travel.</t>
  </si>
  <si>
    <t>Install “peephole” door viewers or dwelling-unit entry doors that include windows.</t>
  </si>
  <si>
    <t>Provide secure, resident-controlled site access at all property entrances. Ensure gates and/or fences aside from the resident-controlled access point prevent direct entry to buildings from streets or adjacent lots.</t>
  </si>
  <si>
    <t>For all landscaped areas within 25 feet of a pedestrian path, building entry, playground, or parking area: 
- keep shrubs and hedges trimmed to a maximum of 3 feet
- trim tree canopies to a clearance height of 6 feet or more above ground level</t>
  </si>
  <si>
    <t>Install at least two of the following: climate systems/thermostat; ceiling fans; shading devices; lighting that allows tuning, dimming, and/or switching between task, accent, and ambient conditions; adjustable vents.</t>
  </si>
  <si>
    <t>Install locked storage for at least 50% of units. Storage is at least 10 square feet per dwelling unit, provided outside of the unit.</t>
  </si>
  <si>
    <t>Install a drinking fountain or hydration station in at least one accessible common area.</t>
  </si>
  <si>
    <t>Install secure mailboxes and lockable package storage or lockers.</t>
  </si>
  <si>
    <t>Install lockable mailboxes.</t>
  </si>
  <si>
    <t>7.14 Social Connection - Strategy A</t>
  </si>
  <si>
    <t>7.14 Social Connection - Strategy C</t>
  </si>
  <si>
    <t>7.14 Social Connection - Strategy B</t>
  </si>
  <si>
    <t>7.14 Social Connection - Strategy D</t>
  </si>
  <si>
    <t>7.14 Social Connection - Strategy F</t>
  </si>
  <si>
    <t>7.14 Social Connection - Strategy G</t>
  </si>
  <si>
    <t>7.14 Social Connection - Strategy H</t>
  </si>
  <si>
    <t>7.14 Social Connection - Strategy I</t>
  </si>
  <si>
    <t>7.14 Social Connection - Strategy J</t>
  </si>
  <si>
    <t>7.14 Social Connection - Strategy K</t>
  </si>
  <si>
    <t>7.14 Social Connection - Strategy L</t>
  </si>
  <si>
    <t>7.14 Social Connection - Strategy N</t>
  </si>
  <si>
    <t>7.14 Social Connection - Strategy O</t>
  </si>
  <si>
    <t>7.14 Social Connection - Strategy P</t>
  </si>
  <si>
    <t>13.</t>
  </si>
  <si>
    <t>Criterion 7.14: Social Connection and Accessibility - Design for All Ages/Abilities</t>
  </si>
  <si>
    <t>Product data for furniture used in common spaces.</t>
  </si>
  <si>
    <t>Photos of features for universal accessibility of bathrooms in common areas.</t>
  </si>
  <si>
    <t>Product data for bathroom grab bars and towel bars.</t>
  </si>
  <si>
    <t>Product data for thermostatic or anti-scald faucets.</t>
  </si>
  <si>
    <t>Product data for dwelling unit door handles.</t>
  </si>
  <si>
    <t>Product data for drawer and cabinet hardware.</t>
  </si>
  <si>
    <t>Product data for faucets.</t>
  </si>
  <si>
    <t>Product data for light switches.</t>
  </si>
  <si>
    <t>Signage for wayfinding throughout the interior and exterior of the property is clear, multilingual (where appropriate) and incorporates illustrations and color.</t>
  </si>
  <si>
    <t>Floor finishes in common spaces and at least 25% of dwelling units have subtle, neutral patterns and plain matte finishes.</t>
  </si>
  <si>
    <t>Light switches in common spaces and 25% of dwelling units contrast in color and value with wall surfaces and have an indicator light when turned off.</t>
  </si>
  <si>
    <t>Furniture used in common spaces is easily movable and not permanently fixed to any surface.</t>
  </si>
  <si>
    <t>Hard-surface floor finishes in common spaces, hallways, entryways, and outdoor pathways are slip-resistant.</t>
  </si>
  <si>
    <t>Bathroom towel bars in 25% of dwelling units support the same loads that grab bars are required to support by code.</t>
  </si>
  <si>
    <t>Lever door handles for interior and exterior doors in at least 25% of dwelling units.</t>
  </si>
  <si>
    <t>Faucets in all common spaces and 25% of dwelling units are single-lever.</t>
  </si>
  <si>
    <t>Light switches in common spaces and 25% of dwelling units are rocker or large-paddle.</t>
  </si>
  <si>
    <t>Install signage for wayfinding throughout the interior and exterior of the property.</t>
  </si>
  <si>
    <t>Mount light switches at 52 inches and power outlets at 20 inches above the finished floor.</t>
  </si>
  <si>
    <t>Install at least one restroom in common areas that meets universal accessibility requirements.</t>
  </si>
  <si>
    <t>Install seating, toilets, drinking water, internet, and charging stations in interior common areas.</t>
  </si>
  <si>
    <t>Install slip-resistant, hard-surface finishes in common spaces, hallways, entryways, and outdoor pathways.</t>
  </si>
  <si>
    <t>Mount bathroom grab bars horizontally or vertically (not on the diagonal).</t>
  </si>
  <si>
    <t xml:space="preserve">Install interior and exterior doors with no steps or raised thresholds. </t>
  </si>
  <si>
    <t>Install support (e.g., hand rails) on both sides of all sloped walking surfaces.</t>
  </si>
  <si>
    <t>Drawer and cabinet hardware requires no grasping, pinching, or twisting of the wrist, or small knobs, for 25% of dwelling units.</t>
  </si>
  <si>
    <t>Install 36-inch rough opening for all doors.</t>
  </si>
  <si>
    <t>Install permanent kitchen and bathroom cabinetry and sanitary appliances with enough clearance to provide a turning radius of at least 5 feet.</t>
  </si>
  <si>
    <t>Criterion 7.15 not used.</t>
  </si>
  <si>
    <t>Design strategies implemented for common spaces [3 points].</t>
  </si>
  <si>
    <t>Design strategies implemented for dwelling units [3 points].</t>
  </si>
  <si>
    <t>Design strategies implemented for both dwelling units and common spaces [6 points].</t>
  </si>
  <si>
    <t>Show if dwelling unit design stratgies used.</t>
  </si>
  <si>
    <t>Show if common area design stratgies used.</t>
  </si>
  <si>
    <t>7.15: Biophilic design features</t>
  </si>
  <si>
    <t>7.15: Tunable circadian lighting systems</t>
  </si>
  <si>
    <t>7.15: Interaction with plants</t>
  </si>
  <si>
    <t>7.15: Usable outdoor spaces</t>
  </si>
  <si>
    <t>7.15: Fauna-supporting features</t>
  </si>
  <si>
    <t>7.15: Water features</t>
  </si>
  <si>
    <t>Criterion 7.15: Access to Nature and Biophilic Design</t>
  </si>
  <si>
    <t>Show if 7.15 used for points.</t>
  </si>
  <si>
    <t>Product data for tunable circadian lighting systems.</t>
  </si>
  <si>
    <t>Product data for flowering plants, bird baths, pollinator houses, bat houses, or perches.</t>
  </si>
  <si>
    <t>Photos of water features (fountains, rain chains, bioswales).</t>
  </si>
  <si>
    <t>Lighting systems in dwelling units shift with natural daylight cycles and can be controlled by residents.</t>
  </si>
  <si>
    <t>Vegetation in usable outdoor spaces is native and/or culturally significant vegetation and varies seasonally.</t>
  </si>
  <si>
    <t>Use hand or electric maintenance and no chemical herbicides in usable outdoor spaces.</t>
  </si>
  <si>
    <t>Install raised beds, community gardens, or plantings with a variety of scents and textures, as indicated by the project team.</t>
  </si>
  <si>
    <t>Plant or install flowering plants, bird baths, pollinator houses, bat houses, or perches, as indicated by the project team.</t>
  </si>
  <si>
    <t>Install water features (fountains, rain chains, bioswales), as indicated by the project team.</t>
  </si>
  <si>
    <t>Criterion 7.16 not used.</t>
  </si>
  <si>
    <t>Community-generated art [2 points].</t>
  </si>
  <si>
    <t>Storytelling through space [2 points].</t>
  </si>
  <si>
    <t>Cultural partnerships or programming [2 points].</t>
  </si>
  <si>
    <t>Community-generated art and storytelling through space [4 points].</t>
  </si>
  <si>
    <t>Community-generated art and cultural partnerships or programming [4 points].</t>
  </si>
  <si>
    <t>Storytelling through space and cultural partnerships or programming [4 points].</t>
  </si>
  <si>
    <t>Community-generated art, storytelling through space, and cultural partnerships or programming [6 points].</t>
  </si>
  <si>
    <t>Show if 7.16 - art or space is selected for points.</t>
  </si>
  <si>
    <t>Show if 7.16 - art is selected for points.</t>
  </si>
  <si>
    <t>Show if 7.16 - space is selected for points.</t>
  </si>
  <si>
    <t>Photos of artwork installed in shared indoor or outdoor space.</t>
  </si>
  <si>
    <t>Photos of three installed design and naming elements selected by community members.</t>
  </si>
  <si>
    <t>Artwork installed in shared indoor or outdoor spaces is created by or in collaboration with residents and/or local artists and reflect the community that will be served or has historically lived in the community.</t>
  </si>
  <si>
    <t>Installed products and/or space labels meet requirements of design and names selected by community members.</t>
  </si>
  <si>
    <t>Install products and/or space labels per design and names selected by community members.</t>
  </si>
  <si>
    <t>Criterion 7.17 not used.</t>
  </si>
  <si>
    <t>Option 1: Encourage everyday stair use - Transparent glazing at stair doors</t>
  </si>
  <si>
    <t>Option 1: Encourage everyday stair use - Magnetic door holds</t>
  </si>
  <si>
    <t>Option 1: Encourage everyday stair use - Removing door enclosures and vestibules</t>
  </si>
  <si>
    <t>Option 2: Provide activity spaces</t>
  </si>
  <si>
    <t>Criterion 7.17 Active Design: Promoting Physical Activity</t>
  </si>
  <si>
    <t>Criterion 7.16 Healing-Centered and Culturally Responsive Design</t>
  </si>
  <si>
    <t>Show if 7.17 selected for points</t>
  </si>
  <si>
    <t>Show if 7.17 Option 1 selected</t>
  </si>
  <si>
    <t>Product data for finishes in stairways and building corridors.</t>
  </si>
  <si>
    <t>Show if 7.17 Option 1, glazing</t>
  </si>
  <si>
    <t>Show if 7.17 Option 1, magnetic door holds</t>
  </si>
  <si>
    <t>Show if 7.17 Option 2</t>
  </si>
  <si>
    <t>Product data for glazing used at stair doors (glazing within doors or a sidelite).</t>
  </si>
  <si>
    <t>Product data for magnetic door holds.</t>
  </si>
  <si>
    <t>Product data for adult exercise and/or children's play equipment.</t>
  </si>
  <si>
    <t>Finishes in stairways are consistent with, or better than, those in the building corridors.</t>
  </si>
  <si>
    <t>Glazing in doors or adjacent sidelite is transparent and at least 10 square feet in size.</t>
  </si>
  <si>
    <t>Show if 7.17 used for points</t>
  </si>
  <si>
    <t>Install point-of-decision signage at building entrances and corridor intersections.</t>
  </si>
  <si>
    <t>Install at least 10 square feet of transparent glazing at all stair doors from the corridor.</t>
  </si>
  <si>
    <t>Show if 7.17 Option 1, magnetic door</t>
  </si>
  <si>
    <t>Install magnetic door holds on all doors leading to stairs from the corridor (as allowable by fire code).</t>
  </si>
  <si>
    <t>Install adult exercise and/or children's play equipment in dedicated on-site recreation space.</t>
  </si>
  <si>
    <t xml:space="preserve">Show for Multifamily  </t>
  </si>
  <si>
    <t>Show if multifamily</t>
  </si>
  <si>
    <t>Operations, Maintenance, and Resident Engagement</t>
  </si>
  <si>
    <t>Criterion 8.1: Building Operations and Maintenance Manual and Plan</t>
  </si>
  <si>
    <t>Submit a manual with thorough building operations and maintenance guidance and a complementary plan, including all of the following components:</t>
  </si>
  <si>
    <t>1)       Floor plans specifically highlighting the location of mechanical, electrical, fuel, and water-system turnoffs.</t>
  </si>
  <si>
    <t>2)      A list of topics included in the emergency management manual and where this manual is available.</t>
  </si>
  <si>
    <t>3)     Green cleaning product specifications and cleaning schedules.</t>
  </si>
  <si>
    <t>4)     Operations and maintenance guidance for all mechanical, electrical and plumbing equipment and appliances for building-level equipment and dwelling-unit equipment, including HVAC and plumbing as-built information and specifications, maintenance schedules, and any established contracted services and service providers.</t>
  </si>
  <si>
    <t>5)      As-built lighting fixture and lamp schedules, specifications, and replacement guidance.</t>
  </si>
  <si>
    <t>6)      As-built landscaping and hardscaping plant lists, specifications, maintenance requirements and schedules, and any specific instructions for community gardens or growing spaces.</t>
  </si>
  <si>
    <t>7)      As-built specifications, maintenance requirements, and replacement schedules for paint and other finishes that require regular updates.</t>
  </si>
  <si>
    <t>8)      Specifications, maintenance schedules, and any established contracted services and service providers for backup power systems and any other specialized systems, e.g., solar photovoltaics, solar water heating, ground-source heating and cooling, cogeneration.</t>
  </si>
  <si>
    <t>9)      Name and purpose of each community-portal application for sharing information between building personnel and residents</t>
  </si>
  <si>
    <t>10)    A copy of the property’s Zero Over Time plan (if the project is pursuing Criterion 5.1 Energy Planning) and guidance to refer to this plan for equipment replacement and capital planning.</t>
  </si>
  <si>
    <t>11)   Maintenance requirements for equipment installed in active recreation and play spaces or other site amenitites.</t>
  </si>
  <si>
    <t>12)   Type and location of any supporting tools for staff and residents (magnets, short informational videos, QR code stickers).</t>
  </si>
  <si>
    <t>Criterion 8.2: Emergency Management Manual</t>
  </si>
  <si>
    <t>Submit information critical to an Emergency Management Manual related to operations such as infrastructure and building shutdown procedures, including appropriate steps for securing electrical and mechanical systems, on-site fuel sources, elevators, and the site perimeter, and potable water protection and supply.</t>
  </si>
  <si>
    <t>Criterion 8.4: Walk-Throughs and Orientations to Property Operation</t>
  </si>
  <si>
    <t xml:space="preserve">Documentation of a comprehensive walk-through for all residents and for all property managers and building operations staff. </t>
  </si>
  <si>
    <t xml:space="preserve">Use materials provided under Criterion 8.1 and 8.2 to deliver training to facility management and building maintenance staff on all relevant systems. Share the list of Green Communities criteria that were implemented as part of the project. </t>
  </si>
  <si>
    <t>All dwelling units are owner-occupied</t>
  </si>
  <si>
    <t>Option 1: Owner-paid utility bills only</t>
  </si>
  <si>
    <t>Option 2: Aggregated whole-property utility data</t>
  </si>
  <si>
    <t>Option 3: 100% of tenant-paid utility data</t>
  </si>
  <si>
    <t>Option 4: Sample of tenant-paid utility data</t>
  </si>
  <si>
    <t xml:space="preserve">Submit a screenshot of the project's dashboard in the benchmarking platform used to track and monitor energy and water data. If possible, ensure the screenshot includes the project name and physical building address. </t>
  </si>
  <si>
    <t>Criterion 8.5: Energy and Water Data Collection and Monitoring</t>
  </si>
  <si>
    <t>Show if multifamily, not owner-occupied.</t>
  </si>
  <si>
    <t>Show if 8.5 Option 1</t>
  </si>
  <si>
    <t>Show if 8.5 Option 2</t>
  </si>
  <si>
    <t>Show if 8.5 Option 3</t>
  </si>
  <si>
    <t>Show if 8.5 Option 4</t>
  </si>
  <si>
    <t>Data must be uploaded and tracked at least annually in an online utility benchmarking platform for at least five years after EITHER 1) issue of the certificate of occupancy for rehabs OR 2) lease-up for new construction. Viewing access must be granted to Enterprise for the required five-year period. </t>
  </si>
  <si>
    <t>Property owner requests, uploads, and tracks aggregated whole-property utility data from utility providers.</t>
  </si>
  <si>
    <t>Property owner collects 100% of the individual tenant-paid utility data from utility providers or tenants and tracks these as well as owner-paid accounts in the online platform.</t>
  </si>
  <si>
    <t>Property owner pays 100% of the property’s utility bills and uses these bills as the source for tracking whole-property utility data in the online platform.</t>
  </si>
  <si>
    <t>When using sample tenant-paid utility data to estimate whole-property data, the “Estimation” box must be checked when submitting the data in ENERGY STAR Portfolio Manager.</t>
  </si>
  <si>
    <t>Property owner collects a sample of individual tenant-paid utility data from utility providers or tenants, which is then used to produce an estimate of whole-property utility data as well as owner-paid accounts. To extrapolate the whole-building data from the sample set, teams may use either 1) the Better Buildings Challenge sampling protocol, found in Appendix C of the Better Buildings Challenge Data Manual, OR 2) HUD’s Assisted Housing Utility Allowance Calculations sampling protocol, found in Part VI of HUD Notice H-2015-04.</t>
  </si>
  <si>
    <t>08 00 00</t>
  </si>
  <si>
    <t>11 00 00</t>
  </si>
  <si>
    <t>01 00 00</t>
  </si>
  <si>
    <t>Abbreviations and Acronyms</t>
  </si>
  <si>
    <t>01 42 13</t>
  </si>
  <si>
    <t>01 42 16</t>
  </si>
  <si>
    <t>02 00 00</t>
  </si>
  <si>
    <t>Quality Assurance</t>
  </si>
  <si>
    <t>Temporary Dust Barriers</t>
  </si>
  <si>
    <t>01 43 00</t>
  </si>
  <si>
    <t>01 56 16</t>
  </si>
  <si>
    <t>Operation and Maintenance Data</t>
  </si>
  <si>
    <t>Sustainable Design Closeout Documentation</t>
  </si>
  <si>
    <t>01 78 53</t>
  </si>
  <si>
    <t>Facility Operation Procedures</t>
  </si>
  <si>
    <t>Facility Maintenance Procedures</t>
  </si>
  <si>
    <t>01 92 13</t>
  </si>
  <si>
    <t>01 93 13</t>
  </si>
  <si>
    <t>Existing Conditions Assessment</t>
  </si>
  <si>
    <t>Existing Thermal and Moisture Protection Assessment</t>
  </si>
  <si>
    <t>Lead Assessment</t>
  </si>
  <si>
    <t>Demolition and Structure Moving</t>
  </si>
  <si>
    <t>Selective Demolition</t>
  </si>
  <si>
    <t>Lead-Based Paint Remediation</t>
  </si>
  <si>
    <t>Removal and Disposal of Material Containing Lead</t>
  </si>
  <si>
    <t>Insulating Concrete Forming</t>
  </si>
  <si>
    <t>Cast-in-Place Concrete</t>
  </si>
  <si>
    <t>Precast Concrete</t>
  </si>
  <si>
    <t>Mass Concrete</t>
  </si>
  <si>
    <t>Metal Decking</t>
  </si>
  <si>
    <t>Composite Metal Decking</t>
  </si>
  <si>
    <t>Metal Railings</t>
  </si>
  <si>
    <t>Wood Treatment</t>
  </si>
  <si>
    <t>Shop-Applied Wood Coatings</t>
  </si>
  <si>
    <t>Structural Panels</t>
  </si>
  <si>
    <t>Underlayment</t>
  </si>
  <si>
    <t>Cabinet and Drawer Hardware</t>
  </si>
  <si>
    <t>02 22 00</t>
  </si>
  <si>
    <t>02 25 29</t>
  </si>
  <si>
    <t>02 26 26</t>
  </si>
  <si>
    <t>02 40 00</t>
  </si>
  <si>
    <t>02 83 19</t>
  </si>
  <si>
    <t>02 83 33</t>
  </si>
  <si>
    <t>03 00 00</t>
  </si>
  <si>
    <t>03 11 19</t>
  </si>
  <si>
    <t>03 40 00</t>
  </si>
  <si>
    <t>03 70 00</t>
  </si>
  <si>
    <t>04 00 00</t>
  </si>
  <si>
    <t>05 00 00</t>
  </si>
  <si>
    <t>05 30 00</t>
  </si>
  <si>
    <t xml:space="preserve">05 31 00 </t>
  </si>
  <si>
    <t>05 36 00</t>
  </si>
  <si>
    <t>05 52 00</t>
  </si>
  <si>
    <t>06 00 00</t>
  </si>
  <si>
    <t>06 05 73</t>
  </si>
  <si>
    <t>06 05 83</t>
  </si>
  <si>
    <t>06 12 00</t>
  </si>
  <si>
    <t>06 16 26</t>
  </si>
  <si>
    <t>06 41 93</t>
  </si>
  <si>
    <t>Dampproofing and Waterproofing</t>
  </si>
  <si>
    <t>Thermal Protection</t>
  </si>
  <si>
    <t>07 10 00</t>
  </si>
  <si>
    <t>07 20 00</t>
  </si>
  <si>
    <t>07 90 00</t>
  </si>
  <si>
    <t>Integrated Door Opening Assemblies</t>
  </si>
  <si>
    <t>Specialty Doors and Frames</t>
  </si>
  <si>
    <t>Sliding Glass Doors</t>
  </si>
  <si>
    <t>Security Gates</t>
  </si>
  <si>
    <t>Entrances, Storefronts, and Curtain Walls</t>
  </si>
  <si>
    <t>08 17 00</t>
  </si>
  <si>
    <t>08 30 00</t>
  </si>
  <si>
    <t>08 32 00</t>
  </si>
  <si>
    <t>08 34 56</t>
  </si>
  <si>
    <t>08 40 00</t>
  </si>
  <si>
    <t>Roof Windows and Skylights</t>
  </si>
  <si>
    <t>Vents</t>
  </si>
  <si>
    <t>Wall Finishes</t>
  </si>
  <si>
    <t>Sound-Absorbing Wall Units</t>
  </si>
  <si>
    <t>Sound-Absorbing Ceiling Units</t>
  </si>
  <si>
    <t>Decorative Finishing</t>
  </si>
  <si>
    <t>Toilet, Bath, and Laundry Accessories</t>
  </si>
  <si>
    <t>Tub and Shower Enclosures</t>
  </si>
  <si>
    <t>Storage Specialties</t>
  </si>
  <si>
    <t>Postal Specialties</t>
  </si>
  <si>
    <t>Exterior Protection</t>
  </si>
  <si>
    <t>Exterior Sun Control Devices</t>
  </si>
  <si>
    <t>08 60 00</t>
  </si>
  <si>
    <t>08 95 00</t>
  </si>
  <si>
    <t>09 00 00</t>
  </si>
  <si>
    <t>09 28 00</t>
  </si>
  <si>
    <t>09 70 00</t>
  </si>
  <si>
    <t>09 84 33</t>
  </si>
  <si>
    <t>09 84 36</t>
  </si>
  <si>
    <t>09 94 00</t>
  </si>
  <si>
    <t>10 00 00</t>
  </si>
  <si>
    <t>10 28 00</t>
  </si>
  <si>
    <t>10 28 19</t>
  </si>
  <si>
    <t>10 50 00</t>
  </si>
  <si>
    <t>10 55 00</t>
  </si>
  <si>
    <t xml:space="preserve">10 71 00 </t>
  </si>
  <si>
    <t>10 71 13</t>
  </si>
  <si>
    <t>Grilles and Screens</t>
  </si>
  <si>
    <t>10 82 00</t>
  </si>
  <si>
    <t>Residential Equipment</t>
  </si>
  <si>
    <t>11 30 00</t>
  </si>
  <si>
    <t>Entertainment and Recreation Equipment</t>
  </si>
  <si>
    <t>Art</t>
  </si>
  <si>
    <t>Window Treatments</t>
  </si>
  <si>
    <t>Countertops</t>
  </si>
  <si>
    <t>Furnishings and Accessories</t>
  </si>
  <si>
    <t>Interior Planters</t>
  </si>
  <si>
    <t>Fountains</t>
  </si>
  <si>
    <t>Integrated Construction</t>
  </si>
  <si>
    <t>Building Modules</t>
  </si>
  <si>
    <t>11 60 00</t>
  </si>
  <si>
    <t>12 00 00</t>
  </si>
  <si>
    <t>12 10 00</t>
  </si>
  <si>
    <t>12 20 00</t>
  </si>
  <si>
    <t>12 36 00</t>
  </si>
  <si>
    <t>12 40 00</t>
  </si>
  <si>
    <t>12 50 00</t>
  </si>
  <si>
    <t>12 92 33</t>
  </si>
  <si>
    <t>13 00 00</t>
  </si>
  <si>
    <t>13 12 00</t>
  </si>
  <si>
    <t>13 40 00</t>
  </si>
  <si>
    <t xml:space="preserve">13 42 00 </t>
  </si>
  <si>
    <t>Plumbing Insulation</t>
  </si>
  <si>
    <t>Instrumentation and Control for Plumbing</t>
  </si>
  <si>
    <t>22 09 00</t>
  </si>
  <si>
    <t>Operation and Maintenance of HVAC Systems</t>
  </si>
  <si>
    <t>Testing, Adjusting, and Balancing for HVAC</t>
  </si>
  <si>
    <t>Instrumentation and Control for HVAC</t>
  </si>
  <si>
    <t>23 01 00</t>
  </si>
  <si>
    <t>Ventilation Hoods</t>
  </si>
  <si>
    <t>HVAC Air Cleaning Devices</t>
  </si>
  <si>
    <t>23 38 00</t>
  </si>
  <si>
    <t>23 40 00</t>
  </si>
  <si>
    <t>Decentralized HVAC Equipment</t>
  </si>
  <si>
    <t>23 72 00</t>
  </si>
  <si>
    <t>23 80 00</t>
  </si>
  <si>
    <t>Humidity Control Equipment</t>
  </si>
  <si>
    <t>23 84 00</t>
  </si>
  <si>
    <t>Operation and Maintenance of Electrical Systems</t>
  </si>
  <si>
    <t>Raceway and Boxes for Electrical Systems</t>
  </si>
  <si>
    <t>Instrumentation and Control for Electrical Systems</t>
  </si>
  <si>
    <t>26 01 00</t>
  </si>
  <si>
    <t>26 05 33</t>
  </si>
  <si>
    <t>26 09 00</t>
  </si>
  <si>
    <t>Panelboards</t>
  </si>
  <si>
    <t>Low-Voltage Distribution Equipment</t>
  </si>
  <si>
    <t>Facility Electrical Power Generating and Storing Equipment</t>
  </si>
  <si>
    <t>26 24 16</t>
  </si>
  <si>
    <t>26 27 00</t>
  </si>
  <si>
    <t>26 30 00</t>
  </si>
  <si>
    <t>Data Communications</t>
  </si>
  <si>
    <t>Carbon-Monoxide Detection Sensors</t>
  </si>
  <si>
    <t>27 20 00</t>
  </si>
  <si>
    <t>28 10 00</t>
  </si>
  <si>
    <t>31 00 00</t>
  </si>
  <si>
    <t>Vegetation Control</t>
  </si>
  <si>
    <t>31 31 19</t>
  </si>
  <si>
    <t>Aggregate Surfacing</t>
  </si>
  <si>
    <t>32 15 00</t>
  </si>
  <si>
    <t>Curbs and Gutters</t>
  </si>
  <si>
    <t>Sidewalks</t>
  </si>
  <si>
    <t>32 16 13</t>
  </si>
  <si>
    <t>32 16 23</t>
  </si>
  <si>
    <t>Planters</t>
  </si>
  <si>
    <t>32 94 33</t>
  </si>
  <si>
    <t>Noise Pollution Control</t>
  </si>
  <si>
    <t>44 20 00</t>
  </si>
  <si>
    <t>Division 13: Special Construction</t>
  </si>
  <si>
    <t>14 00 00</t>
  </si>
  <si>
    <t>28 00 00</t>
  </si>
  <si>
    <t>Division 28: Electronic Safety and Security</t>
  </si>
  <si>
    <t>34 00 00</t>
  </si>
  <si>
    <t>44 00 00</t>
  </si>
  <si>
    <t>Division 44: Pollution and Waste Control Equipment</t>
  </si>
  <si>
    <t>Hide if Option 2, Openings-Shutters not used.</t>
  </si>
  <si>
    <t>Guidance item not used.</t>
  </si>
  <si>
    <t>Guidance item used.</t>
  </si>
  <si>
    <t>Show for Option 2, openings/shutters - no mulled windows</t>
  </si>
  <si>
    <t>No windows are mulled.</t>
  </si>
  <si>
    <t>Shutters are capable of protecting glazing from wind-borne debris.</t>
  </si>
  <si>
    <t>Show for Option 2, openings/shutters - shutters</t>
  </si>
  <si>
    <t>Install window shutters.</t>
  </si>
  <si>
    <t>Show for Option 2, openings/shutters - outswing doors</t>
  </si>
  <si>
    <t xml:space="preserve">Exterior doors are outswing. </t>
  </si>
  <si>
    <t>Install exterior entry doors to swing outward.</t>
  </si>
  <si>
    <t>Show for Option 2, openings/shutters - Door and windows assembly rated for design pressure</t>
  </si>
  <si>
    <t>The door and windows, as an assembly, are rated for the design pressure.</t>
  </si>
  <si>
    <t>The door assembly (door and all associated hardware and components) meet the design wind pressure for the site.</t>
  </si>
  <si>
    <t>Show for Option 2, openings/shutters - Door assembly</t>
  </si>
  <si>
    <t>All glazed openings (windows, patio doors, skylights, glass block, etc.) must be able to resist or be protected from wind-borne debris.</t>
  </si>
  <si>
    <t>Show for Option 2, openings/shutters - All glazed openings resistant/protected from wind-borne debris</t>
  </si>
  <si>
    <t>Install protection for all glazed openings (windows, patio doors, skylights, glass block, etc.) that are not able to resist wind-borne debris.</t>
  </si>
  <si>
    <t>All exterior door assemblies must be pressure and impact rated or protected by a system that is rated for the exposure category, design wind speed, door size, and door location on the building. Assembly includes door, door frame attachment to wood frame, and lock.</t>
  </si>
  <si>
    <t>Show for Option 2, openings/shutters - All exterior door assemblies pressure/impact rated</t>
  </si>
  <si>
    <t>Install protection for all exterior door assemblies that are not pressure or impact rated.</t>
  </si>
  <si>
    <t>Hide if option 2 - roof deck and underlayment not used</t>
  </si>
  <si>
    <t>06 05 23</t>
  </si>
  <si>
    <t>Wood, Plastic, and Composite Fastenings</t>
  </si>
  <si>
    <t>07 28 00</t>
  </si>
  <si>
    <t>Underlayments</t>
  </si>
  <si>
    <t>Hide if Option 2, High-Wind Roof Covering not used</t>
  </si>
  <si>
    <t>Hide if Option 2, Continuous load path not used</t>
  </si>
  <si>
    <t>Hide if Option 2, Garage Doors not used</t>
  </si>
  <si>
    <t>Hide if Option 2, Wall System not used</t>
  </si>
  <si>
    <t>Hide if Option 2, Soffit not used</t>
  </si>
  <si>
    <t>Hide if Option 2, Pressurization design not used</t>
  </si>
  <si>
    <t>Hide if Option 2, Chimney not selected</t>
  </si>
  <si>
    <t>Hide if option 2, roof-mounted equipment not used</t>
  </si>
  <si>
    <t>Show if 3.10 Option 2 selected</t>
  </si>
  <si>
    <t>Wood Framing</t>
  </si>
  <si>
    <t>06 11 00</t>
  </si>
  <si>
    <t>04 21 00</t>
  </si>
  <si>
    <t>Clay Masonry Units</t>
  </si>
  <si>
    <t>07 72 00</t>
  </si>
  <si>
    <t>Roof Accessories</t>
  </si>
  <si>
    <t>23 51 00</t>
  </si>
  <si>
    <t>Breechings, Chimneys, and Stacks</t>
  </si>
  <si>
    <t>06 45 20</t>
  </si>
  <si>
    <t>Exterior Trim</t>
  </si>
  <si>
    <t>Product data for roof decking nails.</t>
  </si>
  <si>
    <t>Product data for plywood or OSB decking indicating thickness.</t>
  </si>
  <si>
    <t>Product data for roof deck flashing tape, felt, and button-cap nails.</t>
  </si>
  <si>
    <t>Product data for felt underlayment, flashing tape, and button cap nails.</t>
  </si>
  <si>
    <t>Product data for self-adhered membrane for roofing underlayment.</t>
  </si>
  <si>
    <t>Product data for plastic cap nails used to fasten underlayment.</t>
  </si>
  <si>
    <t>Product data for metal cap nail used to fasten underlayment.</t>
  </si>
  <si>
    <t>Documentation of a site-specific designed load path from a licensed engineer.</t>
  </si>
  <si>
    <t>Product data for wood structural panels used for gable end sheathing.</t>
  </si>
  <si>
    <t>Product data for fastener used to attach roof framing members to wall top plates.</t>
  </si>
  <si>
    <t>Product data for sill plate anchor bolts and washers.</t>
  </si>
  <si>
    <t>Product data for vinyl siding.</t>
  </si>
  <si>
    <t>Product data for soffit.</t>
  </si>
  <si>
    <t>Show for 3.9 Option 2: Roof Deck &amp; Underlayment - DECKING, Use a minimum 7/16 in. plywood or OSB</t>
  </si>
  <si>
    <t>Show for 3.9 Option 2: Roof Deck &amp; Underlayment - UNDERLAY, Flashing tape and felt</t>
  </si>
  <si>
    <t>Show for 3.9 Option 2: Roof Deck &amp; Underlayment - UNDERLAY, Two-layer felt</t>
  </si>
  <si>
    <t>Show for 3.9 Option 2: Roof Deck &amp; Underlayment - UNDERLAY, Self-adhered membrane</t>
  </si>
  <si>
    <t>Show for 3.9 Option 2: Roof Deck &amp; Underlayment - FASTENERS, Metal-cap nails</t>
  </si>
  <si>
    <t>Show for 3.9 Option 2: Roof Deck &amp; Underlayment - FASTENERS, Plastic-cap nails</t>
  </si>
  <si>
    <t>Show for 3.9 Option 2: High-Wind Roof Covering - ROOF COVER, Asphalt shingles high-wind rated</t>
  </si>
  <si>
    <t>Show for 3.9 Option 2: High-Wind Roof Covering - ROOF COVER, Roof coverings besides asphalt shingles</t>
  </si>
  <si>
    <t>Show for 3.9 Option 2: Continuous Load Path - Licensed engineer-designed load path</t>
  </si>
  <si>
    <t>Show for 3.9 Option 2: Continuous Load Path - Gable end walls sheathing</t>
  </si>
  <si>
    <t>Show for 3.9 Option 2: Continuous Load Path - Roof Truss/Rafter Attachment</t>
  </si>
  <si>
    <t>Show for 3.9 Option 2: Continuous Load Path - Bracing of Roof Framing</t>
  </si>
  <si>
    <t>Show for 3.9 Option 2: Continuous Load Path - Wall-to-Foundation Connection</t>
  </si>
  <si>
    <t>Show for 3.9 Option 2: Wall System - Vinyl siding</t>
  </si>
  <si>
    <t>Show for 3.9 Option 2: Wall System - High-wind-rated fiber cement products</t>
  </si>
  <si>
    <t>Show for 3.9 Option 2: Wall System - Fiber cement products designed or tested to meet design wind pressures</t>
  </si>
  <si>
    <t>Show for 3.9 Option 2: Soffit - Fiber cement or wood soffit material</t>
  </si>
  <si>
    <t>Show for 3.9 Option 2: Pressurization Design - Stack openings of each level.</t>
  </si>
  <si>
    <t>Show for 3.9 Option 2: Pressurization Design - Shear walls have low aspect ratios</t>
  </si>
  <si>
    <t>Show for 3.9 Option 2: Pressurization Design - Engineer-optimized shear wall lengths</t>
  </si>
  <si>
    <t>Show for 3.9 Option 2: Pressurization Design - Larger openings parallel to main roof joists</t>
  </si>
  <si>
    <t>Show for 3.9 Option 2: Chimney - Chimney less than 5ft or engineered</t>
  </si>
  <si>
    <t>Show for 3.9 Option 2: Roof-mounted Equipment - Solar PV installed at “zero tilt.”</t>
  </si>
  <si>
    <t>Show for 3.9 Option 2: Garage Doors - Garage doors without glazed openings meet design pressure</t>
  </si>
  <si>
    <t>Show for 3.9 Option 2: Garage Doors - Garage doors with glazed openings meet design pressure</t>
  </si>
  <si>
    <t>Decking is plywood or OSB with a minimum width of 7/16 inches.</t>
  </si>
  <si>
    <t>Nailing for decking is 8d round head 2-1/2 inch, .131 ring shank nails.</t>
  </si>
  <si>
    <t>Sealing for deck seams is either:
- 4-in wide ASTM D1970 compliant self-adhering polymer-modified bitume, OR
- AAMA 711-13 Level 3 roof deck flashing tape</t>
  </si>
  <si>
    <t>Deck underlayment is #30 felt or equivalent synthetic underlayment.</t>
  </si>
  <si>
    <t>Deck underlayment is self-adhered (peel-and-stick) membrane meeting ASTM D1970 requirements.</t>
  </si>
  <si>
    <t>Fasteners for underlayment are 32-gauge metal cap nail with minimum 1 in. diameter—minimum ring shank 0.083 in. or smooth shank 0.091 in. Length not less than 3/4 in. into roof sheathing.</t>
  </si>
  <si>
    <t>Fasteners for underlayment are 0.035 in. plastic edge cap with minimum 1 in. diameter—minimum ring shank 0.083 in. or smooth shank 0.091 in. Length is sufficient to penetrate the roof sheathing or not less than 3/4 inches into roof sheathing. Fasteners are corrosion resistant.</t>
  </si>
  <si>
    <t>Show if 3.9 Option 2: Roof Deck &amp; Underlayment - DECKING
Use a minimum 7/16 in. plywood or OSB</t>
  </si>
  <si>
    <t>Show if 3.9 Option 2: Roof Deck &amp; Underlayment - UNDERLAY Flashing tape and felt</t>
  </si>
  <si>
    <t>Show if 3.9 Option 2: Roof Deck &amp; Underlayment - UNDERLAY Two-layer felt</t>
  </si>
  <si>
    <t>Show if 3.9 Option 2: Roof Deck &amp; Underlayment - UNDERLAY Self-adhered membrane</t>
  </si>
  <si>
    <t>Show if 3.9 Option 2: Roof Deck &amp; Underlayment - FASTENERS Metal-cap nails</t>
  </si>
  <si>
    <t>Show if 3.9 Option 2: Roof Deck &amp; Underlayment - FASTENERS Plastic-cap nails</t>
  </si>
  <si>
    <t>Product used to seal drip edge is self-adhering starter strip or flashing cement.</t>
  </si>
  <si>
    <t>All roof coverings are rated for site-specific wind speed and design pressures.</t>
  </si>
  <si>
    <t>Show for 3.9 Option 2: High-Wind Roof Covering - ROOF COVER Asphalt shingles high-wind rated</t>
  </si>
  <si>
    <t>Show for 3.9 Option 2: High-Wind Roof Covering - ROOF COVER Seal drip-edge</t>
  </si>
  <si>
    <t>Show for 3.9 Option 2: High-Wind Roof Covering - ROOF COVER Roof coverings besides asphalt shingles</t>
  </si>
  <si>
    <t>Asphalt shingles are high-wind rated.</t>
  </si>
  <si>
    <t>Roof sheathing nails are ring/screw shank.</t>
  </si>
  <si>
    <t>Sheathing for gable end walls is wood structural panels with the same performance category as the walls.</t>
  </si>
  <si>
    <t>Fastener used to attach roof framing members to wall top plates resists loads in all three directions.</t>
  </si>
  <si>
    <t xml:space="preserve">Sill plate anchor bolts are 1/2-in diameter. Provide a 3x3-in.-square plate washer at each anchor bolt. </t>
  </si>
  <si>
    <t>Show for 3.9 Option 2: Continuous Load Path - Roof sheathing attachment</t>
  </si>
  <si>
    <t>For garage doors without glazed openings (windows), the door assembly (door and all associated hardware and components) meets the design wind pressure for the site OR provide garage door protection with an impact-rated shutter/screen product that meets the design wind pressure for the site.</t>
  </si>
  <si>
    <t>For garage doors with glazed openings (windows), the door assembly is rated for the design pressure and impact, OR provide provide garage door protection with an impact-rated shutter/screen product that meets the design wind pressure for the site.</t>
  </si>
  <si>
    <t>Vinyl siding complies with the 2017 edition of ASTM D3679 (2017) and has a design wind pressure rating that equals or exceeds the required design wind pressure.</t>
  </si>
  <si>
    <t>Provide high-wind-rated fiber cement products for exterior cladding and trim. Do not provide vinyl siding.</t>
  </si>
  <si>
    <t>Fiber cement products and attachment schedules are designed or tested to meet the design wind pressures in the 2018 IRC or ASCE-10.</t>
  </si>
  <si>
    <t>Provide fiber cement or wood material for soffits.</t>
  </si>
  <si>
    <t>Solar PV panels are rated for wind zone and snow/hail as appropriate for location.</t>
  </si>
  <si>
    <t>Nail roof decking at 4 in. o.c. along the edges and 6 in. o.c. in the field.</t>
  </si>
  <si>
    <t>Install a 4-in.-wide (nominal) ASTM D1970 compliant self-adhering polymer-modified bitumen or AAMA 711-13, Level 3 roof deck flashing tape over all roof horizontal and vertical roof deck seams, then cover the deck with a #30 felt or an equivalent synthetic underlayment. Lap up the side walls 4–6 in., and tape with flashing tape. Fasten underlayment with button cap nails at 6 in. o.c. along the laps and 12 in. o.c. spacing, vertically and horizontally, between the laps</t>
  </si>
  <si>
    <t>Install a two-layer #30 felt underlayment. To achieve a double layer, cut 17 in. off one side of the roll, and install the remaining 19-in.-wide strip of underlayment. Tack in place. Install a 36-in.-wide roll of underlayment over the 19-in.-wide course of underlayment along the eave. Continue, overlapping the sheets 19 in. (leaving a 17-in. exposure). Attach underlayment with button cap nails at 6 in. o.c. along the laps and 12 in. o.c. spacing, vertically and horizontally, between the laps. Lap up the sidewalls 4–6 in., and tape with flashing tape.</t>
  </si>
  <si>
    <t>Install a self-adhered (peel-and-stick) membrane meeting ASTM D1970 requirements over the entire roof deck. Lap up the sidewalls 4–6 in.</t>
  </si>
  <si>
    <t>Fasten underlayment with button cap nails at 6 in. o.c. along the laps and 12 in. o.c. spacing, vertically and horizontally, between the laps.</t>
  </si>
  <si>
    <t>Show for 3.9 Option 2: Roof Deck &amp; Underlayment - DECKING Nailing requiements</t>
  </si>
  <si>
    <t>Show for 3.9 Option 2: Roof Deck &amp; Underlayment - UNDERLAY Flashing tape and felt</t>
  </si>
  <si>
    <t>Show for 3.9 Option 2: Roof Deck &amp; Underlayment - UNDERLAY Two-layer felt</t>
  </si>
  <si>
    <t>Show for 3.9 Option 2: Roof Deck &amp; Underlayment - UNDERLAY Self-adhered membrane</t>
  </si>
  <si>
    <t>Show for 3.9 Option 2: Roof Deck &amp; Underlayment - FASTENERS Button-cap nails</t>
  </si>
  <si>
    <t>Asphalt shingles should be high-wind rated and be installed with six nails, per high-wind installation instructions.</t>
  </si>
  <si>
    <t>For shingle roof installations, seal the drip edge at eaves using a self-adhering starter strip or applying an 8-in.-wide layer of flashing cement, maximum 1/8 in. thick.</t>
  </si>
  <si>
    <t>Use asphalt roof cement to glue and ensure bonding to enhance the attachment of hip and ridge shingles.</t>
  </si>
  <si>
    <t>Roof coverings (metal, concrete and clay tile, low-sloped roofs, wood shakes, or shingles) installed per manufacturer instructions for the site-specific wind speed and design pressures.</t>
  </si>
  <si>
    <t>Install drip edge on top of the underlayment (except where instructions or the building code stipulate a different method), extend a minimum of 1/4 in. below roof sheathing, and extend onto the roof deck 2 in.</t>
  </si>
  <si>
    <t>Drip edges must be mechanically fastened to the roof deck at a maximum of 4 in. o.c.</t>
  </si>
  <si>
    <t>Install flashing at wall and roof intersections at each change in roof slope or direction and around roof openings. A flashing shall be installed to divert the water away from where a roof intersects a vertical sidewall.</t>
  </si>
  <si>
    <t>Base flashing against a vertical sidewall is continuous or step flashing, not less than 4 in. in height and 4 in. in width, and direct water away from the vertical sidewall onto the roof or into the gutter.</t>
  </si>
  <si>
    <t>Show for 3.9 Option 2: High-Wind Roof Covering - ROOF COVER Additional flashing requirements</t>
  </si>
  <si>
    <t>Base flashing against a vertical sidewall is continuous or step flashing, not less than 4 in. in height and 4 in. in width.</t>
  </si>
  <si>
    <t>Show for 3.9 Option 2: High-Wind Roof Covering - ROOF COVER Asphalt roof cement for hip and ridge shingles</t>
  </si>
  <si>
    <t>Show for 3.9 Option 2: High-Wind Roof Covering - DRIP/FLASHING Drip edge on top of underlayment</t>
  </si>
  <si>
    <t>Show for 3.9 Option 2: High-Wind Roof Covering - DRIP/FLASHING Drip edges mechanically fastened to roof deck</t>
  </si>
  <si>
    <t>Show for 3.9 Option 2: High-Wind Roof Covering - DRIP/FLASHING Additional flashing requirements</t>
  </si>
  <si>
    <t>Attach adjacent wood structural panel wall sheathing over common framing to provide lateral and uplift load continuity.</t>
  </si>
  <si>
    <t>Install all structural members per licensed engineer-designed load path.</t>
  </si>
  <si>
    <t>Increase the nailing to 4 in. at panel edges and 6 in. along intermediate supports (from a 6/12-in. pattern), and use ring/screw shank nails to increase withdrawal strength.</t>
  </si>
  <si>
    <t>Brace gable end walls at both the top and bottom, and ensure that they are properly attached to the roof and wall, respectively.</t>
  </si>
  <si>
    <t>Sheathe all gable ends with wood structural panels that have the same performance category as the walls.</t>
  </si>
  <si>
    <t>Attach roof framing member to the wall top plates with a fastener that resists loads in all three directions.</t>
  </si>
  <si>
    <t>Ensure that trusses and rafters, especially those with taller heels, are properly braced with solid blocking between the top plates and roof sheathing to transfer the loads from the roof to the walls.</t>
  </si>
  <si>
    <t>Ensure that upper and lower floors are properly attached to resist uplift loads and create a solid lateral connection</t>
  </si>
  <si>
    <t>Attach sill plates to the foundation with 1/2 in. anchor bolts at 32-48 in. o.c. Provide a 3x3-in.-square plate washer at each anchor bolt. Ensure that the wall sheathing is attached to the properly anchored sill plate with the nailing pattern on the edge of the sheathing, as required by the wall design.</t>
  </si>
  <si>
    <t>Show for 3.9 Option 2: Continuous Load Path - Attach wall sheating over common framing</t>
  </si>
  <si>
    <t>Show for 3.9 Option 2: Continuous Load Path - Gable end walls bracing</t>
  </si>
  <si>
    <t>Show for 3.9 Option 2: Continuous Load Path - Floor-to-Floor Connections</t>
  </si>
  <si>
    <t>Install additional brackets and rails in the garage door. Brackets reinforce the frame, and the rails reinforce the garage door.</t>
  </si>
  <si>
    <t>Install garage door assembly to meet design wind pressure for the site, or install protection for the garage door.</t>
  </si>
  <si>
    <t>Install garage door assembly to meet design wind pressure and impact for the site, or install protection for the garage door.</t>
  </si>
  <si>
    <t>Show for 3.9 Option 2: Garage Doors - Install additional brackets and rails</t>
  </si>
  <si>
    <t>Use a full wrap of OSB or plywood around the exterior of the home, running from roof to foundation. Nail per IRC 6 in. o.c. on all four edges and 12 in. o.c. in field.</t>
  </si>
  <si>
    <t>Increase interior and exterior shear walls nailing pattern to 4 in. o.c. on edges and 6 in. o.c. in field.</t>
  </si>
  <si>
    <t>Inspect nailing patterns for exterior structural panels and shear walls.</t>
  </si>
  <si>
    <t>Anchor corrugated brick ties into studs, not sheathing, OR anchor into sheathing according to IRC 2018 Table 703.8.4(2).</t>
  </si>
  <si>
    <t>Use reinforced CMU/ICF for exterior walls of the home, running from roof to foundation, including foundation/basement walls, if present.</t>
  </si>
  <si>
    <t>Show for 3.9 Option 2: Wall System - Reinforced CMU/ICF</t>
  </si>
  <si>
    <t>Install reinforced CMU/ICF for exterior walls of the home, running from roof to foundation, including foundation/basement walls, if present.</t>
  </si>
  <si>
    <t>Do not install fiber cement exterior cladding with blind nailing.</t>
  </si>
  <si>
    <t xml:space="preserve">Show for 3.9 Option 2: Wall System - Full wrap of OSB or plywood </t>
  </si>
  <si>
    <t xml:space="preserve">Show for 3.9 Option 2: Wall System - Increase shear walls nailing pattern </t>
  </si>
  <si>
    <t xml:space="preserve">Show for 3.9 Option 2: Wall System - Inspect shear walls nailing pattern </t>
  </si>
  <si>
    <t>Show for 3.9 Option 2: Wall System - Corrugated Brick Ties</t>
  </si>
  <si>
    <t>Install additional nailing strips for all types of soffit materials.</t>
  </si>
  <si>
    <t>Follow manufacturer-recommended high-wind application for vinyl and metal soffit.</t>
  </si>
  <si>
    <t>Confirm nailing patterns of fiber cement or wood soffit material.</t>
  </si>
  <si>
    <t>Apply fiber cement soffit material over additional nailing strips.</t>
  </si>
  <si>
    <t>Show for 3.9 Option 2: Soffit - Additional nailing strips</t>
  </si>
  <si>
    <t xml:space="preserve">Show for 3.9 Option 2: Soffit - Vinyl and metal soffit, follow manufacturer-recommended high-wind application. </t>
  </si>
  <si>
    <t>Show for 3.9 Option 2: Soffit - Fiber cement soffit material applied over additional nailing strips</t>
  </si>
  <si>
    <t>Install structural framing to stack openings of each level.</t>
  </si>
  <si>
    <t>Install shear walls to have a low aspect ratio (height-to-width).</t>
  </si>
  <si>
    <t>Install shear walls/protections at corners.</t>
  </si>
  <si>
    <t>Install walls per engineer-optimized lengths.</t>
  </si>
  <si>
    <t>Install larger openings parallel to main roof joists in non-load-bearing walls.</t>
  </si>
  <si>
    <t>Show for 3.9 Option 2: Pressurization Design - Shear walls/protections at corners</t>
  </si>
  <si>
    <t>Masonry chimney adjacent to the building envelope should be properly reinforced and anchored back to the wood framing.</t>
  </si>
  <si>
    <t>Chimney must be less than 5 ft. unless engineered.</t>
  </si>
  <si>
    <t>Masonry chimney sitting on top of a deck and that penetrates the balloon frame should be properly reinforced and engineered.</t>
  </si>
  <si>
    <t>Framed chimneys that penetrate roof structure around metal flue on top of roof should be properly anchored, balloon framed, and engineered.</t>
  </si>
  <si>
    <t>Framed chimneys adjacent to the building envelope around metal flue should be properly anchored and attached to the structure.</t>
  </si>
  <si>
    <t>Show for 3.9 Option 2: Chimney - Masonry chimney adjacent to building envelope</t>
  </si>
  <si>
    <t>Show for 3.9 Option 2: Chimney - Masonry chimney sitting on top of a deck and penetrates balloon frame</t>
  </si>
  <si>
    <t>Show for 3.9 Option 2: Chimney - Framed chimney penetrates roof structure around metal flue</t>
  </si>
  <si>
    <t>Show for 3.9 Option 2: Chimney - Framed chimney adjacent to building envelope around metal flue</t>
  </si>
  <si>
    <t>Ground-mount solar PV panels.</t>
  </si>
  <si>
    <t>Solar (photovoltaic [PV]) should be installed at “zero tilt.” Attachment to roof should not compromise roof system and should be engineered per site location with proper flashing.</t>
  </si>
  <si>
    <t>Ground-mount exterior HVAC equipment.</t>
  </si>
  <si>
    <t>Ground-mount deck.</t>
  </si>
  <si>
    <t>Deck attachments to roof should not compromise roof system and should be engineered per site location with proper flashing.</t>
  </si>
  <si>
    <t>Show for 3.9 Option 2: Roof-mounted Equipment - Ground mounting of PV</t>
  </si>
  <si>
    <t>Show for 3.9 Option 2: Roof-mounted Equipment - Ground mounting of HVAC</t>
  </si>
  <si>
    <t>Show for 3.9 Option 2: Roof-mounted Equipment - Ground mounting of deck</t>
  </si>
  <si>
    <t>Show for 3.9 Option 2: Roof-mounted Equipment - Deck attachments do not compromise roof system</t>
  </si>
  <si>
    <t>Product data for connectors and fasteners.</t>
  </si>
  <si>
    <t>Use a zinc-galvanized coating, 22-gauge minimum (G90), for connectors. Nails, bolts, washers, and other fasteners should meet ASTM A153 standards for coating thickness.</t>
  </si>
  <si>
    <t>3.10 Resilient Site Design: Flood, Option 2 - Connectors &amp; Fasteners</t>
  </si>
  <si>
    <t>No part of the project is within 3,000 ft. of coastal areas.</t>
  </si>
  <si>
    <t>Some of the project is within 3,000 ft. of coastal areas.</t>
  </si>
  <si>
    <t>All of the project is within 3,000 ft. of coastal areas.</t>
  </si>
  <si>
    <t>For connectors within 3,000 feet of coastal areas: use 16-gauge hot dipped galvanized connectors (G185) meeting ASTM F2329 standards or stainless steel connectors meeting ASTM A240 or A580 standards for connectors.</t>
  </si>
  <si>
    <t>Show if using 3.10 Option 2, and some of project is within 3,000 ft. of coastal areas.</t>
  </si>
  <si>
    <t>Use 16-gauge hot dipped galvanized connectors (G185) meeting ASTM F2329 standards or stainless steel connectors meeting ASTM A240 or A580 standards for connectors.</t>
  </si>
  <si>
    <t>Show if using 3.10, Option 2, and all of project is within 3,000 ft. of coastal areas</t>
  </si>
  <si>
    <t>Show if using 3.10 Option 2, and none of project is within 3,000 ft of coastal areas.</t>
  </si>
  <si>
    <t>Install all connections so that they can be inspected and are accessible for corrosion inspection and replacement.</t>
  </si>
  <si>
    <t>Show for 3.10 Option 2</t>
  </si>
  <si>
    <t>Product data for gypsum board and associated fasteners.</t>
  </si>
  <si>
    <t>Product data for cladding and trim.</t>
  </si>
  <si>
    <t>Show for 3.10 Option 2: Wall Assembly - Block and use galvanized screws</t>
  </si>
  <si>
    <t>Show for 3.10 Option 2: Wall Assembly - Use closed-cell spray foam</t>
  </si>
  <si>
    <t>Show for 3.10 Option 2: Wall Assembly - Move wall insulation to exterior</t>
  </si>
  <si>
    <t>Show for 3.10 Option 2: Wall Assembly - Vinyl or cement-based cladding and trim</t>
  </si>
  <si>
    <t>Show for 3.10 Option 2: Utilities &amp; Mechanical Equipment - HVAC equipment and electrical panel box location</t>
  </si>
  <si>
    <t>Show for 3.10 Option 2: Utilities &amp; Mechanical Equipment - All service equipment location</t>
  </si>
  <si>
    <t>Show for 3.10 Option 2: Freeboard Elevation - Coastal A or V Zone</t>
  </si>
  <si>
    <t>Show for 3.10 Option 2: Freeboard Elevation - BFE + 2–3 ft. or 500-year</t>
  </si>
  <si>
    <t>Show for 3.10 Option 2: Freeboard Elevation - BFE + 4 ft</t>
  </si>
  <si>
    <t>Interior gypsum board is non-paper-faced.</t>
  </si>
  <si>
    <t>Screws used to fasten interior gypsum board are galvanized.</t>
  </si>
  <si>
    <t>Provide closed-cell foam spray foam insulation for interior wall insulation.</t>
  </si>
  <si>
    <t>For exterior wall cladding, use a drainage plane material designed to be used behind the cladding.</t>
  </si>
  <si>
    <t>Exterior cladding and trim is vinyl or cement-based.</t>
  </si>
  <si>
    <t xml:space="preserve">When using vinyl- and cement-based cladding systems, use a solid sheathing, such as oriented strand board (OSB), behind the drainage plane material. </t>
  </si>
  <si>
    <t>Use flood-resistant materials referenced in FEMA Fact Sheet 1.7 or Table 2 of FEMA Technical Bulletin 2.</t>
  </si>
  <si>
    <t>Show for 3.10 Option 2: Wall Assembly - FEMA flood-resistant materials</t>
  </si>
  <si>
    <t>Show for 3.10 Option 2: Wall Assembly - Drainage plane material</t>
  </si>
  <si>
    <t>Show for 3.10 Option 2: Wall Assembly - Use solid sheathing</t>
  </si>
  <si>
    <t>Spray studs with borate treatment to a minimum of 4 ft. or 12 in. above base flood elevation (BFE) in field (all first floor and floor joists, if applicable).</t>
  </si>
  <si>
    <t>Block and use galvanized screws to attach non-paper-faced gypsum at least 4 ft. above BFE on all first floor walls.</t>
  </si>
  <si>
    <t>Install all wall insulation on exterior of frame. Do not install cavity insulation.</t>
  </si>
  <si>
    <t>For wood and cement-based siding, fur out siding for better cladding drainage. Allow for back venting at top and bottom of cladded wall.</t>
  </si>
  <si>
    <t>When using vinyl- and cement-based cladding systems, install a solid sheathing, such as oriented strand board (OSB), behind the drainage plane material.</t>
  </si>
  <si>
    <t>Show for 3.10 Option 2: Wall Assembly - Spray studs with borate treatment</t>
  </si>
  <si>
    <t>Show for 3.10 Option 2: Wall Assembly - Fur out wood/cement siding</t>
  </si>
  <si>
    <t>Install quick-connect mechanisms on equipment essential to a building utility system, allowing for fast replacement of components, where allowed by code.</t>
  </si>
  <si>
    <t xml:space="preserve">Install HVAC equipment and electrical panel box above the 0.2-percent-annual-chance (or 500-year) flood elevation or higher. </t>
  </si>
  <si>
    <t>Show for 3.10 Option 2: Utilities &amp; Mechanical Equipment - Backflow valves</t>
  </si>
  <si>
    <t>Show for 3.10 Option 2: Utilities &amp; Mechanical Equipment - Quick-connect mechanisms</t>
  </si>
  <si>
    <t>Install backflow valves on the sanitary sewer lateral or the internal plumbing branch serving below grade fixtures.</t>
  </si>
  <si>
    <t>Coastal Zone A: Install top of lowest floor one foot above the BFE.
Coastal Zone V: Install bottom of lowest horizontal structural member above the BFE.</t>
  </si>
  <si>
    <t>Install bottom of lowest horizontal structural member 2 feet above the BFE, or above the 500-year flood elevation (whichever is greater).</t>
  </si>
  <si>
    <t>Install bottom of lowest horizontal structural member 4 feet above the BFE.</t>
  </si>
  <si>
    <t>26 26 53</t>
  </si>
  <si>
    <t>Electrical Vehicle Charging Equipment</t>
  </si>
  <si>
    <t>26 05 19</t>
  </si>
  <si>
    <t>Low-Voltage Electrical Power Conductors and Cables</t>
  </si>
  <si>
    <t>Products selected based on results of Product Category Screening Template for embodied carbon and material health.</t>
  </si>
  <si>
    <t>01 45 29</t>
  </si>
  <si>
    <t>Testing Laboratory Services</t>
  </si>
  <si>
    <t>10 81 00</t>
  </si>
  <si>
    <t>Pest Control Devices</t>
  </si>
  <si>
    <t>Electronic Access Control and Intrusion Detection</t>
  </si>
  <si>
    <t>08 74 00</t>
  </si>
  <si>
    <t>Access Control Hardware</t>
  </si>
  <si>
    <t>Wood Stairs and Railings</t>
  </si>
  <si>
    <t>12 14 00</t>
  </si>
  <si>
    <t>Outdoor Sculpture and Ornamental Work</t>
  </si>
  <si>
    <t>22 01 00</t>
  </si>
  <si>
    <t>Operation and Maintenance of Plumbing</t>
  </si>
  <si>
    <t>Criterion 2.2: Connections to Existing Development and Infrastructure</t>
  </si>
  <si>
    <t>2.5 Access to Open Space</t>
  </si>
  <si>
    <t>Criterion 2.5 not used for optional points.</t>
  </si>
  <si>
    <t>Option 1: Proximity to public space</t>
  </si>
  <si>
    <t>Option 2: On-site open space</t>
  </si>
  <si>
    <t>Criterion 2.5: Access to Open Space</t>
  </si>
  <si>
    <t>Follow paving guidance according to site plan - including at least 80% non-paved surfaces for space designated as "on-site open space."</t>
  </si>
  <si>
    <t>Show if 2.5, Option 2</t>
  </si>
  <si>
    <t>2.6 Transit, Mobility, and Walkability</t>
  </si>
  <si>
    <t>Criterion 2.6 not used for optional points.</t>
  </si>
  <si>
    <t>Optional points claimed for shared mobility initiatives</t>
  </si>
  <si>
    <t>Optional points claimed for increased bikeability</t>
  </si>
  <si>
    <t>Optional points claimed for increased walkability</t>
  </si>
  <si>
    <t>Optional points claimed for shared mobility initiatives and bikeability</t>
  </si>
  <si>
    <t>Optional points claimed for shared mobility initiatives and walkability</t>
  </si>
  <si>
    <t>Optional points claimed for bikeability and walkability</t>
  </si>
  <si>
    <t>Optional points claimed for shared mobility initiatives, bikeability, and walkability</t>
  </si>
  <si>
    <t>Hide if shared mobility not used</t>
  </si>
  <si>
    <t>Hide if increased bikeability not used</t>
  </si>
  <si>
    <t>Hide if increased walkability not used</t>
  </si>
  <si>
    <t>12 93 13</t>
  </si>
  <si>
    <t>Bicycle Racks and Wall Brackets</t>
  </si>
  <si>
    <t>2.10 Adaptive Reuse of Buildings</t>
  </si>
  <si>
    <t>Criterion 2.10 not used for optional points.</t>
  </si>
  <si>
    <t>Criterion 2.10 selected for optional points.</t>
  </si>
  <si>
    <t>Criterion 2.6: Transit, Mobility, and Walkability</t>
  </si>
  <si>
    <t>Install vehicle-share and/or vanpool parking on the property, indicated with pavement markings or signage.</t>
  </si>
  <si>
    <t>Install outdoor short-term bicycle storage or racks and one bike-repair station accessible for visitors and residents.</t>
  </si>
  <si>
    <t>Install secure, lockable, sheltered, and accessible long-term bicycle storage for at least 25% of building residents. Post signage directing residents to bicycle parking areas.</t>
  </si>
  <si>
    <t>Install public wayfinding signage that promotes walkability and access to services.</t>
  </si>
  <si>
    <t>Enter site improvement features selected:</t>
  </si>
  <si>
    <t>Install at least two site-improvement features adjacent to sidewalk(s) within the development (e.g., street trees, seating, trash receptacles, or bike-maintenance stations):</t>
  </si>
  <si>
    <t>Show if 2.6 selected for optional points.</t>
  </si>
  <si>
    <t>- Curb extensions</t>
  </si>
  <si>
    <t>- Sidewalk(s) widened beyond what is required by code or local regulation</t>
  </si>
  <si>
    <t>- An unpaved buffer separation, barrier, or curb edge to physically separate sidewalks from roadways</t>
  </si>
  <si>
    <t>- Visual appearance of sidewalks where they cross driveways and alley access-ways, using a scoring pattern or special paving</t>
  </si>
  <si>
    <t>- Clearly defined and marked crosswalks at all intersections</t>
  </si>
  <si>
    <t>Show for 2.6 Shared Mobility Initiatives - vehicle-share/vanpool parking.</t>
  </si>
  <si>
    <t>Show for 2.6 Increased Bikeability - Short-term storage</t>
  </si>
  <si>
    <t>Show for 2.6 Increased Bikeability - Long-term storage</t>
  </si>
  <si>
    <t>Show for 2.6 Increased Walkability - Public wayfinding signage</t>
  </si>
  <si>
    <t>Show for 2.6 Increased Walkability - Two site-improvement features</t>
  </si>
  <si>
    <t>Show for 2.6 Increased Walkability - Two pedestrian comfort features</t>
  </si>
  <si>
    <t>Criterion 2.10: Adaptive Reuse of Buildings</t>
  </si>
  <si>
    <t>Adapt, renovate, or reuse at least 50% of the existing structure and envelope, including exterior skin and framing but excluding window assemblies and nonstructural roofing.</t>
  </si>
  <si>
    <t>Show if 2.10 selected for optional points.</t>
  </si>
  <si>
    <t>Criterion 4.4 not used</t>
  </si>
  <si>
    <t>Option 3 (cold-water serving dwelling units) not used.</t>
  </si>
  <si>
    <t>Option 3 (separate meters for other end uses) not used.</t>
  </si>
  <si>
    <t>Option 3 (separate meters for other end uses) selected for points.</t>
  </si>
  <si>
    <t>Yes</t>
  </si>
  <si>
    <t>No</t>
  </si>
  <si>
    <t>Show if Option 3 - Separate meters for other end uses provided</t>
  </si>
  <si>
    <t>Building does not have central DHW or cooling towers.</t>
  </si>
  <si>
    <t>Criterion 7.8 not used</t>
  </si>
  <si>
    <t>DarkSky Luminaires Program Version 3.0</t>
  </si>
  <si>
    <t>Florida Fish and Wildlife Conservation Commission (FWC) Guidelines</t>
  </si>
  <si>
    <t>Louisiana State University AgCenter, ASCE Elevation Calculation Tool</t>
  </si>
  <si>
    <t>Water Efficiency Rating Score (WERS)</t>
  </si>
  <si>
    <t>WaterSense Labeled Homes Version 2.0</t>
  </si>
  <si>
    <t>ENERGY STAR Residential New Construction Program</t>
  </si>
  <si>
    <t>Air Conditioning Contractors of America (ACCA) Manuals J and S</t>
  </si>
  <si>
    <t>ASHRAE Handbook—Fundamentals</t>
  </si>
  <si>
    <t>Ecotope, Ecosizer</t>
  </si>
  <si>
    <t>California Air Resources Board (CARB) Phase II Composite Wood Products Airborne Toxic Control Measure</t>
  </si>
  <si>
    <t>Toxic Substances Control Act (TSCA) Title IV</t>
  </si>
  <si>
    <t>mindful MATERIALS, Common Materials Framework (CMF) Reference Guide</t>
  </si>
  <si>
    <t>Carbon Leadership Forum (CLF), 2025 CLF North American Material Baselines</t>
  </si>
  <si>
    <t>SGM-SF-2023— Soil Gas Mitigation Standards for Existing Homes</t>
  </si>
  <si>
    <t>RESNET Standard for Combustion Safety Testing and Work Scope</t>
  </si>
  <si>
    <t>BPI Combustion Appliance and Fuel Distribution System Inspection</t>
  </si>
  <si>
    <t>Multifamily Home Energy Retrofit Coordinating Committee (MF HERCC) Combustion Safety Testing Protocols for Existing Multifamily Buildings</t>
  </si>
  <si>
    <t>Indoor AirPlus</t>
  </si>
  <si>
    <t>ISO 8336 (Fibre-cement flat sheets—Product specification and test methods</t>
  </si>
  <si>
    <t>International Code Council (ICC), ICC G2-2010 Guideline for Acoustics</t>
  </si>
  <si>
    <t>ENERGY STAR Portfolio Manager</t>
  </si>
  <si>
    <t>Builders for Climate Action, BEAM Estimator</t>
  </si>
  <si>
    <t>One Click LCA, Carbon Designer 3D (CD3D)</t>
  </si>
  <si>
    <t>NBBJ, ZeroGuide</t>
  </si>
  <si>
    <t>Phius Certification Guidebook, CORE, ZERO, and REVIVE</t>
  </si>
  <si>
    <t xml:space="preserve">Athena Impact </t>
  </si>
  <si>
    <t>C.Scale</t>
  </si>
  <si>
    <t>Payette, Kaleidoscope: Embodied Carbon Design Tool</t>
  </si>
  <si>
    <t>Passive House International (PHI, Classic, Plus, Premium, LEB, EnerPHit</t>
  </si>
  <si>
    <t>Tally (software)</t>
  </si>
  <si>
    <t>ASTM C1288, Standard Specification for Fiber-Cement Interior Substrate Sheets</t>
  </si>
  <si>
    <t>ANSI-AARST MAH-2023, Protocol for Conducting Measurements of Radon and Radon Decay Products in Homes</t>
  </si>
  <si>
    <t>ANSI/RESNET/ICC 301, Standard for the Calculation and Labeling of the Energy Performance of Dwelling and Sleeping Units using an Energy Rating Index (Standard 301)</t>
  </si>
  <si>
    <t>ANSI-AARST MA-MFLB-2023, Protocol for Conducting Measurements of Radon and Radon Decay Products in Multifamily, School, Commercial and Mixed-Use Buildings</t>
  </si>
  <si>
    <t>ANSI-AARST SGM-MFLB-2023, Soil Gas Mitigation Standards for Existing Multifamily, School, Commercial and Mixed-Use Buildings</t>
  </si>
  <si>
    <t>ASHRAE Standard 90.1-2013, Energy Standard for Sites and Buildings Except Low-Rise Residential Buildings, Appendix G of 90.1-2016</t>
  </si>
  <si>
    <t>ANSI/ASHRAE Standard 62.2-2022, Ventilation and Acceptable Indoor Air Quality in Residential Buildings, sections 5 and 7</t>
  </si>
  <si>
    <t>State of California, Building Energy Efficiency Standards (Title 24)</t>
  </si>
  <si>
    <t>Building Transparency, EC3 Embodied Carbon in Construction Calculator</t>
  </si>
  <si>
    <t>Federal Communications Commission, National Broadband Map</t>
  </si>
  <si>
    <t>Forest Stewardship Council (FSC) Standard</t>
  </si>
  <si>
    <t>Insurance Institute for Home &amp; Business Safety (IBHS), FORITIFIED: Roof, Silver, Gold, Hail Supplement</t>
  </si>
  <si>
    <t>Habitable, Informed Screening Tool</t>
  </si>
  <si>
    <t>International Association of Plumbing and Mechanical Officials (IAPMO), Water Demand Calculator</t>
  </si>
  <si>
    <t>Uniform Plumbing Code (UPC) 2024, Appendix M: Peak Water Demand Calculator</t>
  </si>
  <si>
    <t>National Fire Protection Association (NFPA) 10, Standard for Emergency and Standby Power Systems</t>
  </si>
  <si>
    <t>National Green Building Standard (NGBS), Water Rating Index (WRI)</t>
  </si>
  <si>
    <t>ANSI/ASHRAE Standard 62.1-2022—Ventilation and Acceptable Indoor Air Quality, Section 5.2</t>
  </si>
  <si>
    <t>California Department of Public Health (CDHP), Standard Method for the Testing and Evaluation of Volatile Organic Chemical Emissions from Indoor Sources using Environmental Chambers, Version 1.2</t>
  </si>
  <si>
    <t>International Residential Code (IRC) 2009, Table M1507.3</t>
  </si>
  <si>
    <t>R</t>
  </si>
  <si>
    <t>BB.</t>
  </si>
  <si>
    <t>CC.</t>
  </si>
  <si>
    <t>DD.</t>
  </si>
  <si>
    <t>EE.</t>
  </si>
  <si>
    <t>FF.</t>
  </si>
  <si>
    <t>GG.</t>
  </si>
  <si>
    <t>HH.</t>
  </si>
  <si>
    <t>II.</t>
  </si>
  <si>
    <t>JJ.</t>
  </si>
  <si>
    <t>KK.</t>
  </si>
  <si>
    <t>LL.</t>
  </si>
  <si>
    <t>MM.</t>
  </si>
  <si>
    <t>NN.</t>
  </si>
  <si>
    <t>OO.</t>
  </si>
  <si>
    <t>PP.</t>
  </si>
  <si>
    <t xml:space="preserve">National Fire Protection Association (NFPA) </t>
  </si>
  <si>
    <t>Standard 72, National Fire Alarm and Signaling Code</t>
  </si>
  <si>
    <t>Standard 1140, Wildland Fire Protection</t>
  </si>
  <si>
    <t>International Energy Conservation Code (IECC) 2018, Figure 301.1: Climate Zone Map</t>
  </si>
  <si>
    <t>SS.</t>
  </si>
  <si>
    <t>QQ.</t>
  </si>
  <si>
    <t>RR.</t>
  </si>
  <si>
    <t>TT.</t>
  </si>
  <si>
    <t>NSF/ANSI</t>
  </si>
  <si>
    <t>Standard 53, Drinking Water Treatment Units, Health Effects</t>
  </si>
  <si>
    <t>Standard 58, Reverse Osmosis Drinking Water Treatment Systems</t>
  </si>
  <si>
    <t>Standard 61, Drinking Water System Components – Health Effects</t>
  </si>
  <si>
    <t>UU.</t>
  </si>
  <si>
    <t>VV.</t>
  </si>
  <si>
    <t>WW.</t>
  </si>
  <si>
    <t>XX.</t>
  </si>
  <si>
    <t>YY.</t>
  </si>
  <si>
    <t>ZZ.</t>
  </si>
  <si>
    <t>AAA.</t>
  </si>
  <si>
    <t>South Coast Air Quality Management District (SCAQMD)</t>
  </si>
  <si>
    <t>BBB.</t>
  </si>
  <si>
    <t>Rule 1113: Architectural Coatings</t>
  </si>
  <si>
    <t>Rule 1168: Adhesive and Sealant Applications</t>
  </si>
  <si>
    <t>CCC.</t>
  </si>
  <si>
    <t>DDD.</t>
  </si>
  <si>
    <t>EEE.</t>
  </si>
  <si>
    <t>FFF.</t>
  </si>
  <si>
    <t>GGG.</t>
  </si>
  <si>
    <t>HHH.</t>
  </si>
  <si>
    <t>III.</t>
  </si>
  <si>
    <t>JJJ.</t>
  </si>
  <si>
    <t>U.S. Department of Housing and Urban Development (HUD)</t>
  </si>
  <si>
    <t>Noise Abatement and Control. Regulation 24 CFR Part 51, Subpart B</t>
  </si>
  <si>
    <t>Notice H2015-04, Part VI: Assisted Housing Utility Allowance Calculations sampling protocol</t>
  </si>
  <si>
    <t>Designing for Natural Hazards: A Resilience Guide for Builders &amp; Developers, Volume 1: Wind</t>
  </si>
  <si>
    <t>Designing for Natural Hazards: A Resilience Guide for Builders &amp; Developers, Volume 2: Water</t>
  </si>
  <si>
    <t>KKK.</t>
  </si>
  <si>
    <t xml:space="preserve">U.S. Environmental Protection Agency (EPA) </t>
  </si>
  <si>
    <t>Technical Guidance on Implementing the Stormwater Runoff Requirements for Federal Projects under Section 438 of the Energy Independence and Security Act</t>
  </si>
  <si>
    <t>ENERGY STAR NextGen Program</t>
  </si>
  <si>
    <t>Lead Abatement, Inspection, and Risk Assessment</t>
  </si>
  <si>
    <t>Lead and Copper Rule.</t>
  </si>
  <si>
    <t>National Pollutant Discharge Elimination System (NPDES) Construction General Permit for Stormwater Discharges</t>
  </si>
  <si>
    <t>National Primary Drinking Water Regulations</t>
  </si>
  <si>
    <t>Radon Zone Map</t>
  </si>
  <si>
    <t>LLL.</t>
  </si>
  <si>
    <t>MMM.</t>
  </si>
  <si>
    <t>NNN.</t>
  </si>
  <si>
    <t>Acronyms</t>
  </si>
  <si>
    <t>SFHA: Special Flood Hazard Area</t>
  </si>
  <si>
    <t>FEMA: Federal Emergency Management Agency</t>
  </si>
  <si>
    <t>ASCE: American Society of Civil Engineers</t>
  </si>
  <si>
    <t>EPA: Environmental Protection Agency</t>
  </si>
  <si>
    <t>NPDES: National Pollutant Discharge Elimination System</t>
  </si>
  <si>
    <t>LZ: Lighting Zone</t>
  </si>
  <si>
    <t>MLO: Model Lighting Ordinance</t>
  </si>
  <si>
    <t>BUG: Backlight, Uplight, Glare</t>
  </si>
  <si>
    <t>FWC: Florida Fish and Wildlife Conservation Commission</t>
  </si>
  <si>
    <t>PV: Photovoltaic</t>
  </si>
  <si>
    <t>SRI: Solar reflectance index</t>
  </si>
  <si>
    <t>SR: Solar reflectance</t>
  </si>
  <si>
    <t>RL: Repetitive loss (flood)</t>
  </si>
  <si>
    <t>SRL: Severe repetitive loss (flood)</t>
  </si>
  <si>
    <t>HUD: Department of Housing and Urban Development</t>
  </si>
  <si>
    <t>DFE: Design flood elevation</t>
  </si>
  <si>
    <t>BFE: Baseline flood elevation</t>
  </si>
  <si>
    <t>gpm: Gallons per minute</t>
  </si>
  <si>
    <t>gpf: Gallons per flush</t>
  </si>
  <si>
    <t>IWF: Integrated water factor</t>
  </si>
  <si>
    <t>gpc: Gallons per cycle</t>
  </si>
  <si>
    <t>PSI: Pounds per square inch</t>
  </si>
  <si>
    <t>mg/L: Milligrams per liter</t>
  </si>
  <si>
    <t>CFU/mL: Colony forming units per milliliter (E. coli)</t>
  </si>
  <si>
    <t xml:space="preserve">IAPMO: International Association of Plumbing and Mechanical Officials </t>
  </si>
  <si>
    <t>UPC: Uniform Plumbing Code</t>
  </si>
  <si>
    <t>UEF: Uniform Energy Factor</t>
  </si>
  <si>
    <t>ERI: Energy Rating Index</t>
  </si>
  <si>
    <t>ACCA: Air Conditioning Contractors of America</t>
  </si>
  <si>
    <t>CFM50/sfbe: Cubic feet per minute at 50 Pascals per square foot of building enclosure</t>
  </si>
  <si>
    <t>LED: Light-emitting diode</t>
  </si>
  <si>
    <t>FT Agent: Functional Testing Agent (HVAC)</t>
  </si>
  <si>
    <t>V: Volts</t>
  </si>
  <si>
    <t>AWG: American wire gauge</t>
  </si>
  <si>
    <t>HPWH: Heat pump water heater</t>
  </si>
  <si>
    <t>RECs: Renewable energy certificates</t>
  </si>
  <si>
    <t>EVSE: Electric vehicle supple equipment</t>
  </si>
  <si>
    <t>EV: Electric vehicle</t>
  </si>
  <si>
    <t>ALMS: Automatic load management system</t>
  </si>
  <si>
    <t>kW: Kilowatts</t>
  </si>
  <si>
    <t>IECC: International Energy Conservation Code</t>
  </si>
  <si>
    <t>CMF: Common Materials Framework</t>
  </si>
  <si>
    <t>EC3: Embodied Carbon in Construction Calculator</t>
  </si>
  <si>
    <t>GWP: Global warming potential</t>
  </si>
  <si>
    <t>PFAS: Per- and polyfluoroakyl substances</t>
  </si>
  <si>
    <t>CDPH: California Department of Public Health</t>
  </si>
  <si>
    <t>VOC: Volatile organic compounds</t>
  </si>
  <si>
    <t>SCAQMD: South Coast Air Quality management District</t>
  </si>
  <si>
    <t>EPD: Environmental Product Declaration</t>
  </si>
  <si>
    <t>FSC: Forest Stewardship Council</t>
  </si>
  <si>
    <t>CLT: Cross-laminated timber</t>
  </si>
  <si>
    <t>APEs: Alkylphenol ethoxylates</t>
  </si>
  <si>
    <t>CARB: California Air Resources Board</t>
  </si>
  <si>
    <t>MDF: Medium-density fiberboard</t>
  </si>
  <si>
    <t>TSCA: Toxic Substances Control Act</t>
  </si>
  <si>
    <t>NAF: No added formaldehyde</t>
  </si>
  <si>
    <t>CO: Carbon monoxide</t>
  </si>
  <si>
    <t>NFPA: National Fire Protection Association</t>
  </si>
  <si>
    <t>ACH: Air changes per hour</t>
  </si>
  <si>
    <t>CFM: Cubic feet per minute</t>
  </si>
  <si>
    <t>MERV: Minimum Efficiency Reporting Value (air filtration)</t>
  </si>
  <si>
    <t>ERV: Energy recovery ventilator</t>
  </si>
  <si>
    <t>HRV: Heat recovery ventilator</t>
  </si>
  <si>
    <t>IPM: Integrated pest management</t>
  </si>
  <si>
    <t>OITC: Outdoor-Indoor Transmission Class</t>
  </si>
  <si>
    <t>STC: Sound Transmission Class</t>
  </si>
  <si>
    <t>ASTC: Apparent Sound Transmission Class</t>
  </si>
  <si>
    <t>IIC: Impact Insulation Class</t>
  </si>
  <si>
    <t>AIIC: Apparent Impact Insulation Class</t>
  </si>
  <si>
    <t>OOO.</t>
  </si>
  <si>
    <t>PPP.</t>
  </si>
  <si>
    <t>QQQ.</t>
  </si>
  <si>
    <t>Albedo</t>
  </si>
  <si>
    <t>The ability of a surface to reflect solar radiation. Higher albedo materials are typically lighter in color and provide superior reflection than darker materials.</t>
  </si>
  <si>
    <t>Base Flood Elevation</t>
  </si>
  <si>
    <t>Design Flood Elevation</t>
  </si>
  <si>
    <t>The height floodwaters are predicted to reach during a 100-year flood event, commonly used while evaluating flood risk.</t>
  </si>
  <si>
    <t>The minimum elevation to which a structure must be elevated or floodproofed, as set and regulated by local authorities.</t>
  </si>
  <si>
    <t>Freeboard</t>
  </si>
  <si>
    <t>The additional height above base flood elevation (BFE) protecting a building from flooding, usually 1 to 3 feet for critical facilities.</t>
  </si>
  <si>
    <t>Submit documentation in accordance with 01 81 13 under Criterion 3.1.</t>
  </si>
  <si>
    <t>Credentials</t>
  </si>
  <si>
    <t>Criterion 3.5: Outdoor Water Use: Efficient Irrigation</t>
  </si>
  <si>
    <t>EPA WaterSense Certified Irrigation Auditor</t>
  </si>
  <si>
    <t>Show if 3.5, Option 2 is used</t>
  </si>
  <si>
    <t>Criterion 3.6 Outdoor Water Use: Alternative Sources</t>
  </si>
  <si>
    <t>A Certified Auditor must program and commission the irrigation system.</t>
  </si>
  <si>
    <t>Professional certified by the American Rainwater Catchment Systems Association or equivalent</t>
  </si>
  <si>
    <t>A Certified Professional must design the irrigation system that uses rainwater for irrigation.</t>
  </si>
  <si>
    <t>Show if 3.6, Option 2, using rainwater</t>
  </si>
  <si>
    <t>Criterion 5.2a: Building Performance - New Construction</t>
  </si>
  <si>
    <t>Show if New Construction</t>
  </si>
  <si>
    <t>Raters, ASHRAE Path Energy Modelers, and Functional Testing Agents (FT Agents) must be eligible to provide services under the ENERGY STAR program.</t>
  </si>
  <si>
    <t>Eligible raters and/or FT agents must complete all required verifications per the ENERGY STAR program.</t>
  </si>
  <si>
    <t>Criterion 5.3: Advanced Building Performance</t>
  </si>
  <si>
    <t>Show if 5.3, Option 2, DOE Efficient New Homes</t>
  </si>
  <si>
    <t xml:space="preserve">Show if 5.3, Option 2 </t>
  </si>
  <si>
    <t>Raters, ASHRAE Path Energy Modelers, and Functional Testing Agents (FT Agents) must be eligible to provide services under the DOE Efficient New Homes program.</t>
  </si>
  <si>
    <t>Eligible raters and/or FT agents must complete all required verifications per the DOE Efficient New Homes program.</t>
  </si>
  <si>
    <t>Raters must be eligible to provide services under the ENERGY STAR NextGen program.</t>
  </si>
  <si>
    <t>Eligible raters must complete all required verifications per the ENERGY STAR NextGen program.</t>
  </si>
  <si>
    <t>Show if 5.3, Option 2, ENERGY STAR NextGen</t>
  </si>
  <si>
    <t>Accredited Passive House Institute Building Certifier</t>
  </si>
  <si>
    <t>Show if 5.3, Option 2, PHI</t>
  </si>
  <si>
    <t>Show if 5.3, Option 2, Phius</t>
  </si>
  <si>
    <t>An accredited certifier must verify features for any PHI certifications including Classic, Plus, Premium, LEB, and EnerPHit.</t>
  </si>
  <si>
    <t>A certified consultant must verify features for any Phius certifications including CORE, ZERO, and REVIVE.</t>
  </si>
  <si>
    <t>Phius Certified Consultant (CPHC)</t>
  </si>
  <si>
    <t>A radon professional must supervise radon testing.</t>
  </si>
  <si>
    <t>Radon professionals must have Certification/license from the state in which the testing or mitigation work is being conducted,
if the state has this requirement, and one of the following:
- Certification from the American Association of Radon Scientists and Technologists’ (AARST) National Radon Proficiency Program (NRPP)
- Certification from the National Radon Safety Board (NRSB)</t>
  </si>
  <si>
    <t>Show if any Criterion under 1.2, Credentials, are shown</t>
  </si>
  <si>
    <t>Section 01 81 13 Sustainability Requirements</t>
  </si>
  <si>
    <t>Section 01 91 00 Commissioning</t>
  </si>
  <si>
    <t>Section 31 21 13 Radon Mitigation</t>
  </si>
  <si>
    <t>09 65 13</t>
  </si>
  <si>
    <t>Resilient Base and Accessories</t>
  </si>
  <si>
    <t>Section 01 42 00 References</t>
  </si>
  <si>
    <t>Section 01 42 13 Abbreviations and Acronyms</t>
  </si>
  <si>
    <t>Section 01 43 00 Quality Assurance</t>
  </si>
  <si>
    <t>Submit documentation in accordance with 01 81 13 under Criterion 7.1.</t>
  </si>
  <si>
    <t>Conform to execution requirements in accordance with 01 81 13 under Criterion 7.1.</t>
  </si>
  <si>
    <t>Section 23 01 00 Operation and Maintenance of HVAC Systems</t>
  </si>
  <si>
    <t>Section 23 01 70 Operation and Maintenance of Central HVAC Equipment</t>
  </si>
  <si>
    <t>Section 23 01 80 Operation and Maintenance of Decentralized HVAC Equipment</t>
  </si>
  <si>
    <t>Section 23 05 93 Testing, Adjusting, and Balancing for HVAC</t>
  </si>
  <si>
    <t>Section 23 08 00 Commissioning of HVAC</t>
  </si>
  <si>
    <t>Section 23 40 00 HVAC Air Cleaning Devices</t>
  </si>
  <si>
    <t>Section 23 41 00 Particulate Air Filtration</t>
  </si>
  <si>
    <t>Submit documentation in accordance with 01 81 13 under Criterion 7.7.</t>
  </si>
  <si>
    <t>Conform to execution requirements in accordance with 01 81 13 under Criterion 7.7.</t>
  </si>
  <si>
    <t>2.1 Product Requirements</t>
  </si>
  <si>
    <t>Provide products in accordance with 01 81 13 under Criterion 7.7.</t>
  </si>
  <si>
    <t>Show if 6.2 Strategy G or H is used</t>
  </si>
  <si>
    <t>Submit documentation in accordance with 01 81 13 under Criterion 6.2.</t>
  </si>
  <si>
    <t>Conform to execution requirements in accordance with 01 81 13 under Criterion 6.2.</t>
  </si>
  <si>
    <t>Show for multifamily</t>
  </si>
  <si>
    <t>Submit documentation in accordance with 01 81 13 under Criterion 8.1.</t>
  </si>
  <si>
    <t>Submit documentation in accordance with 01 81 13 under Criterion 8.2.</t>
  </si>
  <si>
    <t>Section 01 92 13 Facility Operation Procedures</t>
  </si>
  <si>
    <t>Section 01 93 13 Facility Maintenance Procedures</t>
  </si>
  <si>
    <t>Section 22 01 00 Operation and Maintenance of Plumbing</t>
  </si>
  <si>
    <t>Section 26 01 00 Operation and Maintenance of Electrical Systems</t>
  </si>
  <si>
    <t>Section 26 01 50 Operation and Maintenance of Lighting</t>
  </si>
  <si>
    <t>Show if new construction or 5.3 Option 2</t>
  </si>
  <si>
    <t>Show if new construction or 5.3 Option 3</t>
  </si>
  <si>
    <t>Submit documentation in accordance with 01 81 13 under Criterion 5.2a.</t>
  </si>
  <si>
    <t>Submit documentation in accordance with 01 81 13 under Criterion 5.3.</t>
  </si>
  <si>
    <t>Provide products in accordance with 01 81 13 under Criterion 5.2a.</t>
  </si>
  <si>
    <t>Provide products in accordance with 01 81 13 under Criterion 5.3.</t>
  </si>
  <si>
    <t>Conform to execution requirements in accordance with 01 81 13 under Criterion 5.2a.</t>
  </si>
  <si>
    <t>Conform to execution requirements in accordance with 01 81 13 under Criterion 5.3.</t>
  </si>
  <si>
    <t>Show if new construction</t>
  </si>
  <si>
    <t>Show if 5.3, Option 2</t>
  </si>
  <si>
    <t>Section 01 78 53 Sustainable Design Closeout Documentation</t>
  </si>
  <si>
    <t>Section 01 81 13  Sustainability Requirements</t>
  </si>
  <si>
    <t>Submit documentation in accordance with 01 81 13 under Criterion 1.4.</t>
  </si>
  <si>
    <t>Submit documentation in accordance with 01 81 13 under Criterion 8.4</t>
  </si>
  <si>
    <t>Conform to execution requirements in accordance with 01 81 13 under Criterion 1.4</t>
  </si>
  <si>
    <t>Conform to execution requirements in accordance with 01 81 13 under Criterion 8.4</t>
  </si>
  <si>
    <t>Show for Rehab</t>
  </si>
  <si>
    <t>Submit documentation in accordance with 01 81 13 under Criterion 5.2b.</t>
  </si>
  <si>
    <t>Provide products in accordance with 01 81 13 under Criterion 5.2b.</t>
  </si>
  <si>
    <t>Conform to execution requirements in accordance with 01 81 13 under Criterion 5.2b.</t>
  </si>
  <si>
    <t>Show for Multifamily</t>
  </si>
  <si>
    <t>Conform to execution requirements in accordance with 01 81 13 under Criterion 2.10.</t>
  </si>
  <si>
    <t>Show if 2.10 Selected</t>
  </si>
  <si>
    <t>Submit documentation in accordance with 01 81 13 under Criterion 7.9b.</t>
  </si>
  <si>
    <t>Conform to execution requirements in accordance with 01 81 13 under Criterion 7.9b.</t>
  </si>
  <si>
    <t>Submit documentation in accordance with 01 81 13 under Criterion 6.3.</t>
  </si>
  <si>
    <t>Conform to execution requirements in accordance with 01 81 13 under Criterion 6.3.</t>
  </si>
  <si>
    <t xml:space="preserve">02 40 00 </t>
  </si>
  <si>
    <t>Show if 6.2, Strategy F selected</t>
  </si>
  <si>
    <t>Submit documentation in accordance with 01 81 13 under Criterion 6.2, Strategy F (Salvage Assessment).</t>
  </si>
  <si>
    <t>Submit documentation in accordance with 01 81 13 under Criterion 6.2, Strategy I (End-of-use guidance)</t>
  </si>
  <si>
    <t>Submit documentation in accordance with 01 81 13 under Criterion 6.2, Strategy J (Producer Responsibility Program)</t>
  </si>
  <si>
    <t>Submit documentation in accordance with 01 81 13 under Criterion 6.2, Strategy K (Disassembly)</t>
  </si>
  <si>
    <t>Submit documentation in accordance with 01 81 13 under Criterion 6.2, Strategy L (Modular Design for Disassembly).</t>
  </si>
  <si>
    <t>Provide products in accordance with 01 81 13 under Criterion 6.2, Strategy J (Producer Responsibility Program).</t>
  </si>
  <si>
    <t>Conform to execution requirements in accordance with 01 81 13 under Criterion 6.2, Strategy F (Salvage Assessment).</t>
  </si>
  <si>
    <t>Conform to execution requirements in accordance with 01 81 13 under Criterion 6.2, Strategy I (End-of-use guidance)</t>
  </si>
  <si>
    <t>Conform to execution requirements in accordance with 01 81 13 under Criterion 6.2, Strategy J (Producer Responsibility Program)</t>
  </si>
  <si>
    <t>Conform to execution requirements in accordance with 01 81 13 under Criterion 6.2, Strategy K (Disassembly)</t>
  </si>
  <si>
    <t>Conform to execution requirements in accordance with 01 81 13 under Criterion 6.2, Strategy L (Modular Design for Disassembly).</t>
  </si>
  <si>
    <t>Show if 2.10 selected</t>
  </si>
  <si>
    <t>Show if 2.10 or 6.2, Strategies F, I, J, K, L are selected</t>
  </si>
  <si>
    <t>Show if 6.2, Strategies F, I, J, K, L are selected</t>
  </si>
  <si>
    <t>Show if 6.2, Strategies J or L are selected</t>
  </si>
  <si>
    <t>Show if 6.2, Strategy J selected</t>
  </si>
  <si>
    <t>Show if 6.2, Strategy L selected</t>
  </si>
  <si>
    <t>Show if 6.2, Strategy F is selected</t>
  </si>
  <si>
    <t>Show if 6.2, Strategy I is selected</t>
  </si>
  <si>
    <t>Show if 6.2, Strategy J is selected</t>
  </si>
  <si>
    <t>Show if 6.2, Strategy K is selected</t>
  </si>
  <si>
    <t>Show if 6.2, Strategy L is selected</t>
  </si>
  <si>
    <t>Section 02 26 26 Lead Assessment</t>
  </si>
  <si>
    <t>Section 02 83 00 Lead Remediation</t>
  </si>
  <si>
    <t>Section 02 83 33 Removal and Disposal of Material Containing Lead</t>
  </si>
  <si>
    <t>Section 02 83 19 Lead-Based Paint Remediation</t>
  </si>
  <si>
    <t>Show if New Construction or Substantial Rehab in Radon Zone 1</t>
  </si>
  <si>
    <t>Show if 7.7, Option 1</t>
  </si>
  <si>
    <t xml:space="preserve">Submit documentation in accordance with 01 81 13 under Criterion </t>
  </si>
  <si>
    <t>Provide products in accordance with 01 81 13 under Criterion</t>
  </si>
  <si>
    <t xml:space="preserve">Conform to execution requirements in accordance with 01 81 13 under Criterion </t>
  </si>
  <si>
    <t>Show if 3.9, Option 2, or 6.4, Concrete selected</t>
  </si>
  <si>
    <t>TEMPLATE</t>
  </si>
  <si>
    <t>Show if 3.9, Option 2 selected</t>
  </si>
  <si>
    <t>Show if 6.4, Concrete selected</t>
  </si>
  <si>
    <t>Submit documentation in accordance with 01 81 13 under Criterion 3.9, Option 2.</t>
  </si>
  <si>
    <t>Submit documentation in accordance with 01 81 13 under Criterion 6.4, Concrete.</t>
  </si>
  <si>
    <t>Provide products in accordance with 01 81 13 under Criterion 3.9, Option 2.</t>
  </si>
  <si>
    <t>Provide products in accordance with 01 81 13 under Criterion 6.4, Concrete.</t>
  </si>
  <si>
    <t>Conform to execution requirements in accordance with 01 81 13 under Criterion 3.9, Option 2.</t>
  </si>
  <si>
    <t>Show if Criterion 6.1 used</t>
  </si>
  <si>
    <t>Show if New Construction, show if 6.1, 6.2 Strategy A, or 6.4 Concrete are selected</t>
  </si>
  <si>
    <t>Show if New Construction, show if 6.2 Strategy A or 6.4 Concrete are selected</t>
  </si>
  <si>
    <t>Show if 6.2 Strategy A selected</t>
  </si>
  <si>
    <t>Submit documentation in accordance with 01 81 13 under Criterion 6.2, Strategy A (Right-size the structural system).</t>
  </si>
  <si>
    <t>Submit documentation in accordance with 01 81 13 under Criterion 7.9a.</t>
  </si>
  <si>
    <t>Provide products in accordance with 01 81 13 under Criterion 6.1.</t>
  </si>
  <si>
    <t>Provide products in accordance with 01 81 13 under Criterion 7.9a.</t>
  </si>
  <si>
    <t>Show if any Division 3 sections apply</t>
  </si>
  <si>
    <t>Show for 3.9, Option 2</t>
  </si>
  <si>
    <t>Show for 3.9, Option 2 or if 6.1 is selected</t>
  </si>
  <si>
    <t>Show for 6.1</t>
  </si>
  <si>
    <t>Section 01 42 16 Definitions</t>
  </si>
  <si>
    <t>Section 01 45 29 Testing Laboratory Services</t>
  </si>
  <si>
    <t>Section 01 56 16 Temporary Dust Barriers</t>
  </si>
  <si>
    <t>Section 01 57 13 Temporary Erosion and Sedimentation Control</t>
  </si>
  <si>
    <t>Section 01 74 19  Construction Waste Management and Disposal</t>
  </si>
  <si>
    <t>Show only for drip irrigation</t>
  </si>
  <si>
    <t>Show only for smart controllers</t>
  </si>
  <si>
    <t>Show if any traffic safety conditions apply</t>
  </si>
  <si>
    <t>3.9 Resilient Site Design: Wind (Option 2) and 
3.10 Resilient Site Design: Flood</t>
  </si>
  <si>
    <t>Show if scope includes exterior lighting.</t>
  </si>
  <si>
    <t>Scope includes exterior lighting and project is claiming optional points (DarkSky)</t>
  </si>
  <si>
    <t>Scope includes exterior lighting and project is claiming optional points (FWC)</t>
  </si>
  <si>
    <t>Show if 3.3, DarkSky selected for points</t>
  </si>
  <si>
    <t>Show if 3.3, FWC selected for points</t>
  </si>
  <si>
    <t>All exterior lighting fixtures comply with DarkSky Luminaires Program Version 3.0.</t>
  </si>
  <si>
    <t>All exterior lighting fixtures comply with Florida Fish and Wildlife Conservation Commission (FWC) Guidelines.</t>
  </si>
  <si>
    <t>Show if 3.3, DarkSky for optional points</t>
  </si>
  <si>
    <t>Show if 3.3, FWC for optional points</t>
  </si>
  <si>
    <t>SHOW if Option 1 SRI selected, CZs 1-3</t>
  </si>
  <si>
    <t>SHOW if Option 1 SRI selected, CZs 4-6</t>
  </si>
  <si>
    <t>For steep-sloped roofs: asphalt shingles rated Good or Excellent on the IBHS hail impact-resistant shingle ratings; clay and concrete roof tiles meet FM 4473 Class 4 impact rating; metal panels meet UL2218 Class 4 impact rating; all other roof covers meet either UL 2218 Class 4 rating or FM 4473 Class 4 rating.
- For low-sloped continuous roof covers: FM Approval Standard 4470 with a Class 1-SH or 1-VSH; OR UL 2218 Class 4.</t>
  </si>
  <si>
    <t>Show for 3.9 Option 2: Roof Deck &amp; Underlayment - DECKING, Nailing requirements</t>
  </si>
  <si>
    <t>Show if 3.9 Option 2: Roof Deck &amp; Underlayment - DECKING Nailing requirements</t>
  </si>
  <si>
    <t xml:space="preserve">For connectors at least 3,000 feet  from coastal areas: use a zinc-galvanized coating, 22-gauge minimum (G90), for connectors. Nails, bolts, washers, and other fasteners should meet ASTM A153 standards for coating thickness. </t>
  </si>
  <si>
    <t>Show if any of items from 4.3 apply.</t>
  </si>
  <si>
    <t>Show if lead service lines are being replaced</t>
  </si>
  <si>
    <t>Criterion 2.1: Ecological Conservation and Safer Sites</t>
  </si>
  <si>
    <t>Criterion 3.2: Site Design for Ecosystem Services</t>
  </si>
  <si>
    <t>Criterion 3.1: Minimization of Disturbance During Staging and Construction</t>
  </si>
  <si>
    <t>Criterion 3.3: Exterior Lighting</t>
  </si>
  <si>
    <t>Criterion 3.6: Outdoor Water Use: Alternative Sources</t>
  </si>
  <si>
    <t>Criterion 3.7: Traffic Safety and Mobility</t>
  </si>
  <si>
    <t>Criterion 3.8: Heat-Island Management</t>
  </si>
  <si>
    <t>Criterion 3.9: Resilient Site Design: Wind</t>
  </si>
  <si>
    <t>Criterion 3.10: Resilient Site Design: Flood</t>
  </si>
  <si>
    <t>Criterion 3.11: Resilient Site Design: Wildfire</t>
  </si>
  <si>
    <t>Criterion 4.1: Water-Conserving Fixtures and 4.2 Advanced Water Conservation</t>
  </si>
  <si>
    <t>Criterion 4.3: Water Quality</t>
  </si>
  <si>
    <t>Criterion 4.4: Monitoring Water Consumption and Leaks</t>
  </si>
  <si>
    <t>Criterion 4.5: Efficient Plumbing Layout and Design</t>
  </si>
  <si>
    <t>Criterion 4.6: Indoor Water Efficiency: Nonpotable Water Reuse</t>
  </si>
  <si>
    <t>Criterion 4.7: Access to Potable Water During Emergencies</t>
  </si>
  <si>
    <t>Show if any items from C. Water apply</t>
  </si>
  <si>
    <t>Show if items from A. Location and Neighborhood Fabric apply</t>
  </si>
  <si>
    <t>Show if items from 2.1 apply</t>
  </si>
  <si>
    <t>Submit pre-retrofit air infiltration test results (in CFM50/sfbe) for at least 5% of dwelling units and post-retrofit test results for at least 10% of dwelling units across a variety of unit types.</t>
  </si>
  <si>
    <t>Show if 5.3 selected for points</t>
  </si>
  <si>
    <t>Show if multifamily, new construction, and 5.3 option 1 is selected</t>
  </si>
  <si>
    <t>Show if single family, new construction, and 5.3 option 1 is selected</t>
  </si>
  <si>
    <t>Show if moderate rehab or substantial rehab with historic designation, 5.2b ERI path, and 5.3 option 1 is selected</t>
  </si>
  <si>
    <t>Option 1b: Energy Rating Index, substantial rehab with historic designation</t>
  </si>
  <si>
    <t>Show 5.2b ERI path, substantial rehab (no historic designation), and 5.3 option 1 is selected</t>
  </si>
  <si>
    <t>Criterion 5.2b: Building Performance</t>
  </si>
  <si>
    <t>Criterion 5.4: All-Electric and Electric-Ready Design</t>
  </si>
  <si>
    <t>Show for new construction, Rehab Option 1 or 2</t>
  </si>
  <si>
    <t xml:space="preserve">Show if 5.5 Option 1 or 2. </t>
  </si>
  <si>
    <t>Show if 5.6 Option 1 or 2</t>
  </si>
  <si>
    <t>Criterion 5.5: Peak Demand Control</t>
  </si>
  <si>
    <t>Criteria 4.1 Water-Conserving Fixtures and 4.2 Advanced Water Conservation</t>
  </si>
  <si>
    <t>Show if any items from 4.3 apply</t>
  </si>
  <si>
    <t>Criterion 4.4:  Monitoring Water Consumption and Leaks</t>
  </si>
  <si>
    <t xml:space="preserve">Show if new construction, hide if 5.3 option 2  </t>
  </si>
  <si>
    <t xml:space="preserve">Show if new construction and multifamily, hide if 5.3 option 2  </t>
  </si>
  <si>
    <t xml:space="preserve">Show if new construction and single family, hide if 5.3 option 2  </t>
  </si>
  <si>
    <t>Show if rehab, but hide ALL of 5.2b if 5.3, Option 2 is used</t>
  </si>
  <si>
    <t xml:space="preserve">Show if new construction, Hide if 5.3, Option 2  </t>
  </si>
  <si>
    <t>Show if new construction and multifamily, Hide if 5.3 option 2</t>
  </si>
  <si>
    <t>Show if rehab, option 1 (unless moderate before 1980)</t>
  </si>
  <si>
    <t>Hide if 5.3 not selected for points</t>
  </si>
  <si>
    <t>Criterion 5.2a: Building Performance</t>
  </si>
  <si>
    <t>All installed products meet energy efficiency requirements necessary for project energy performance to be at least 5% better than ASHRAE Standard 90.1-2013, according to the methodology in Appendix G 90.1-2016, excluding on-site power generation.</t>
  </si>
  <si>
    <t>Show if ALMS is used</t>
  </si>
  <si>
    <t>Show if any items under 2.9 apply</t>
  </si>
  <si>
    <t>Criterion 2.9: Access to Broadband</t>
  </si>
  <si>
    <t>Install broadband internet service with at least a speed of 100 megabits per section for downloading and 20 megabits per second for uploading to one shared common space (if present).</t>
  </si>
  <si>
    <t>SHOW for: Multifamily, if optional points are NOT selected and fixed broadband IS available to the property</t>
  </si>
  <si>
    <t>SHOW for: multifamily moderate rehab (if optional points are NOT selected and fixed broadband is NOT available to property)</t>
  </si>
  <si>
    <t xml:space="preserve">Any disturbed area that remains undeveloped must be reseeded, planted, or restored to natural conditions. Reseeding and planting must meet product requirements.  </t>
  </si>
  <si>
    <t>Show if LZ0</t>
  </si>
  <si>
    <t>Show if LZ1</t>
  </si>
  <si>
    <t>Show if LZ2</t>
  </si>
  <si>
    <t>Show if LZ 3</t>
  </si>
  <si>
    <t>Show if LZ4</t>
  </si>
  <si>
    <t>Install all exterior lighting according to the DarkSky Luminaires Program, Version 3.0.</t>
  </si>
  <si>
    <t>Install all exterior lighting according to the Florida Fish and Wildlife Conservation Commission (FWC) Guidelines.</t>
  </si>
  <si>
    <t>Show if 3.4 used</t>
  </si>
  <si>
    <t>All central space-heating and water-heating equipment (if present) installed above DFE.</t>
  </si>
  <si>
    <t>Criterion 4.1: Water-Conserving Fixtures</t>
  </si>
  <si>
    <t>Prior to construction start, inspect 100% of common areas and 10 dwelling units (or 20% of units, whichever is greater) for:
- Toilet leaks (dye/tab test or continuous-run check)
- Dripping faucets/showerheads and stuck mixing valves
- Visible leaks at hose bibbs, clothes washers, ice makers, and water-heater relief valves.</t>
  </si>
  <si>
    <t>Show for rehab, hide if 5.3, Option 2 is used</t>
  </si>
  <si>
    <t>Product data for islandable solar photovoltaics and battery storage.</t>
  </si>
  <si>
    <t>Install Level 2 EVSE in at least 5% of the total number of parking spaces on the site.</t>
  </si>
  <si>
    <t>Show if any Division 2 sections apply</t>
  </si>
  <si>
    <t>Show if any Division 4 sections apply</t>
  </si>
  <si>
    <t>Show if items from Division 34 apply</t>
  </si>
  <si>
    <t>Show if items from Division 44 apply</t>
  </si>
  <si>
    <t>Print the document from the Page Break Preview screen, set to 100% zoom.</t>
  </si>
  <si>
    <t>Submit documentation in accordance with 01 81 13 under Criterion 6.2 - Strategy A (Right-size the structural system).</t>
  </si>
  <si>
    <t>Conform to execution requirements in accordance with 01 81 13 under Criterion 6.2 - Strategy A (Right-size the structural system).</t>
  </si>
  <si>
    <t>Show if 6.2, Strategy A selected for points</t>
  </si>
  <si>
    <t>Show for 6.4 - Steel, Options 1 or 2</t>
  </si>
  <si>
    <t>Show for 6.4 - Steel, Options 1 or 3</t>
  </si>
  <si>
    <t>Show for 6.4 - Steel, Options 1 or 4</t>
  </si>
  <si>
    <t>Show for 6.4 - Steel, Options 1 or 5</t>
  </si>
  <si>
    <t>Show for 6.4 - Steel, Options 1 or 6</t>
  </si>
  <si>
    <t>Show for 6.4 - Steel, Options 1 or 8</t>
  </si>
  <si>
    <t>Show for 6.4 - Steel, Options 1 or 9</t>
  </si>
  <si>
    <t>Show for 6.4 - Steel, Options 1 or 10</t>
  </si>
  <si>
    <t>Show for 6.4 - Steel, Options 1 or 11</t>
  </si>
  <si>
    <t>Show for 6.4 - Steel, Options 1 or 12</t>
  </si>
  <si>
    <t>Show for 6.4 - Steel, Options 1 or 13</t>
  </si>
  <si>
    <t>Show for 6.4 - Steel, Options 1 or 14</t>
  </si>
  <si>
    <t>Show for 6.4 - Steel, Options 1 or 15</t>
  </si>
  <si>
    <t>Show for 6.4 - Steel, Options 1 or 16</t>
  </si>
  <si>
    <t>Show for 6.4 - Steel, Options 1 or 19</t>
  </si>
  <si>
    <t>Submit documentation in accordance with 01 81 13 under Criterion 6.4.</t>
  </si>
  <si>
    <t>Provide products in accordance with 01 81 13 under Criterion 6.4.</t>
  </si>
  <si>
    <t>Show if any items from Division 5 apply</t>
  </si>
  <si>
    <t>Show if any items under Division 5 apply</t>
  </si>
  <si>
    <t>Provide products in accordance with 01 81 13 under Criterion 6.4</t>
  </si>
  <si>
    <t>Show if 6.1 selected, show if 6.4 - Steel selected</t>
  </si>
  <si>
    <t>Show if 6.4 - Steel selected</t>
  </si>
  <si>
    <t xml:space="preserve">Show if 6.1 selected </t>
  </si>
  <si>
    <t>Show if 3.11 used for 9 or 12 points</t>
  </si>
  <si>
    <t>Submit documentation in accordance with 01 81 13 under Criterion 3.11.</t>
  </si>
  <si>
    <t>Provide products in accordance with 01 81 13 under Criterion 3.11.</t>
  </si>
  <si>
    <t>Conform to execution requirements in accordance with 01 81 13 under Criterion 3.11.</t>
  </si>
  <si>
    <t>Show if 3.11 selected for points, show if 6.1 selected points, show if 6.4 - Steel selected for points</t>
  </si>
  <si>
    <t>Show if 3.11 or 6.4-Steel selected for points</t>
  </si>
  <si>
    <t>Show if 6.1 Selected</t>
  </si>
  <si>
    <t>Show if 7.14 - Strategy K used for optional points</t>
  </si>
  <si>
    <t>Submit documentation in accordance with 01 81 13 under Criterion 7.14, Strategy K (accessible thresholds).</t>
  </si>
  <si>
    <t>Submit documentation in accordance with 01 81 13 under Criterion 3.9.</t>
  </si>
  <si>
    <t>Submit documentation in accordance with 01 81 13 under Criterion 3.10.</t>
  </si>
  <si>
    <t>Provide products in accordance with 01 81 13 under Criterion 3.9.</t>
  </si>
  <si>
    <t>Provide products in accordance with 01 81 13 under Criterion 3.10.</t>
  </si>
  <si>
    <t>Conform to execution requirements in accordance with 01 81 13 under Criterion 3.9.</t>
  </si>
  <si>
    <t>Conform to execution requirements in accordance with 01 81 13 under Criterion 3.10.</t>
  </si>
  <si>
    <t>Show if 3.9, Option 1 or 2 used for points</t>
  </si>
  <si>
    <t>Show if 3.10 used for points</t>
  </si>
  <si>
    <t>Show if 3.10 or 3.11 selected</t>
  </si>
  <si>
    <t>Criterion 6.2: Reduction of Materials and Waste</t>
  </si>
  <si>
    <t>Product data for flooring, including any FSC certifications, as applicable.</t>
  </si>
  <si>
    <t>Optional points claimed: Project is in a location with municipal recycling infrastructure and/or recycling haulers.</t>
  </si>
  <si>
    <t>Optional points claimed: Project is in a location without municipal recycling infrastructure or recycling haulers.</t>
  </si>
  <si>
    <t>Show for New Construction/Substantial rehab in Radon Zone 1</t>
  </si>
  <si>
    <t>Or, if no combustion-fueled appliances are located within the dwelling unit, provide product data for a heat- or energy-recovery ventilator or a ceiling- or wall-mounted fan.</t>
  </si>
  <si>
    <t>Show if New Construction/Substantial Rehab, or Moderate Rehab if bath is in scope.</t>
  </si>
  <si>
    <t>Option 1: Best-in-class steel standards, electric-arc furnace</t>
  </si>
  <si>
    <t>Option 1: Best-in-class steel standards, 90% recycled</t>
  </si>
  <si>
    <t>Option 1: Best-in-class steel standards, electric-arc and 90% recycled</t>
  </si>
  <si>
    <t>All hardwood plywood, particleboard, medium-density fiberboard (MDF), and these materials within other products (e.g., cabinets and doors) have no added formaldehyde (NAF).</t>
  </si>
  <si>
    <t>Criterion 3.4: Surface Stormwater Management</t>
  </si>
  <si>
    <t>Newly installed HVAC equipment meets sizing calculations in accordance with the Air Conditioning Contractors of America (ACCA) Manuals J and S or ASHRAE handbooks</t>
  </si>
  <si>
    <t>Perform air infiltration tests for at least 10% of dwelling units in the building across a variety of unit types and install air sealing measures required to achieve 0.30 CFM50/sfbe in each dwelling unit.</t>
  </si>
  <si>
    <t>Perform air infiltration tests for at least 10% of dwelling units in the building across a variety of unit types and install air sealing measures required to achieve 0.40 CFM50/sfbe in each dwelling unit.</t>
  </si>
  <si>
    <t>Perform pre-retrofit air infiltration tests for at least 5% of dwelling units in the building across a variety of unit types, and post-retrofit tests for at least 10% of dwelling units. Install air sealing measures required to achieve 20% improvement between the two tests.</t>
  </si>
  <si>
    <t>Install live plants, natural materials, or patterns that mimic nature in dwelling units as indicated by the project team.</t>
  </si>
  <si>
    <t xml:space="preserve">Plant native and/or culturally significant vegetation that varies seasonally in usable outdoor spaces, as specified by the project team. </t>
  </si>
  <si>
    <t>Show if any items from 7.14 apply</t>
  </si>
  <si>
    <t>Install a continuous air barrier between conditioned space and any garage space.
- Seal between all walls separating conditioned and garage spaces with foam and/or caulk.
- Seal all pipe and conduit penetrations with material compatible with the adjacent materials and resilient to temperature fluctuations and providing fire-resistive characteristics if required by authorities having jurisdictions.
- Block and seal floor trusses and joists between conditioned space and garage with foam and/or caulk.</t>
  </si>
  <si>
    <t>Throughout bathrooms, kitchens, and laundry rooms, install surface materials that are durable, cleanable, and are not prone to deterioration due to moisture intrusion.</t>
  </si>
  <si>
    <t>Show if New Construction/Substantial Rehab, or Moderate Rehab if bath, kitchen, or laundry is in scope.</t>
  </si>
  <si>
    <t>Install at least one of: vegetated streets, vegetated walkways, landscaped fence lines or borders, or rain gardens, as indicated by construction documents.</t>
  </si>
  <si>
    <t>Install artwork in shared indoor or outdoor spaces, as specified by the project team. Ensure artwork is visible.</t>
  </si>
  <si>
    <t>Show if any items under 7.14 apply</t>
  </si>
  <si>
    <t>Show if scope includes exterior lighting and is not earning optional points.</t>
  </si>
  <si>
    <t>All permanently installed exterior lighting fixtures, with the exception of emergency lighting, must meet the following requirements or local requirements—whichever is more stringent.</t>
  </si>
  <si>
    <t>Criteria 3.3 Exterior Lighting</t>
  </si>
  <si>
    <t>Show if roadways selected</t>
  </si>
  <si>
    <t>Auditory crossing signals programmed to ensure adequate crossing time per project team guidance.</t>
  </si>
  <si>
    <t>Install all electrical systems, equipment, and components; heating, ventilating, air-conditioning; plumbing appliances and plumbing fixtures; duct systems; and other service equipment above the BFE.</t>
  </si>
  <si>
    <t>Show if SF or if MF 3 stories or fewer, and 4.2 is not used for points.</t>
  </si>
  <si>
    <t>Whole-home water certification is used for points.</t>
  </si>
  <si>
    <t>Show if any items from 4.1 / 4.2 apply</t>
  </si>
  <si>
    <t>Show for rehab, unless 4.2 Option 2 is used for points</t>
  </si>
  <si>
    <t>Show for new construction, unless 4.2 Option 2 is used for points</t>
  </si>
  <si>
    <t>Show if 4.2, Option 2 is not used for points</t>
  </si>
  <si>
    <t>SHOW if SF or MF 3 stories or fewer and 4.2 is NOT used for points</t>
  </si>
  <si>
    <t>Criterion 4.3 Water Quality</t>
  </si>
  <si>
    <t>Criterion 4.4 Monitoring Water Consumption and Leaks</t>
  </si>
  <si>
    <t>Prior to construction start, test DHW return temperature and verify recirculation pump operation according to expected pump hot water delivery schedule and performance per design.</t>
  </si>
  <si>
    <t>Filtration and treatment units for rain/greywater system meet all requirements of local building and health codes.</t>
  </si>
  <si>
    <t>Rain/greywater distribution pipes are purple-colored PVC or PE pipe, clearly labeled as non-potable water, or meet all requirements of local building and health codes.</t>
  </si>
  <si>
    <t>All installed products meet energy efficiency requirements necessary for dwelling units to earn an ERI score of 80 or less, as indicated by the qualified Rater per ANSI/RESNET/ICC 301.</t>
  </si>
  <si>
    <t>All installed products meet energy efficiency requirements necessary for dwelling units to earn an ERI score of 90 or less, as indicated by the qualified Rater per ANSI/RESNET/ICC 301.</t>
  </si>
  <si>
    <t>All installed products meet energy efficiency requirements necessary for each single family home, duplex, and/or townhouse to achieve and ERI score at least 5 points more efficient than the ENERGY STAR Single Family New Homes  program's ERI Target Score, as indicated by the qualified Rater per ANSI/RESNET/ICC 301.</t>
  </si>
  <si>
    <t>All installed products meet energy efficiency requirements necessary for each dwelling unit to achieve an ERI score at least 5 points more efficient than ENERGY STAR Multifamily New Construction program's ERI Target Score, as indicated by the qualified Rater per ANSI/RESNET/ICC 301, or at least 5% more efficient than the program's ASHRAE target.</t>
  </si>
  <si>
    <t>Install energy efficiency measures in accordance with the final design energy model, which demonstrates that each dwelling unit achieves an ERI score of 80 or less. Verify all measures using a qualified third-party energy rater per ANSI/RESNET/ICC 301.</t>
  </si>
  <si>
    <t>Install energy efficiency measures in accordance with the final design energy model, which demonstrates that each dwelling unit achieves an ERI score of 90 or less. Verify all measures using a qualified third-party energy rater per ANSI/RESNET/ICC 301.</t>
  </si>
  <si>
    <t>Install energy efficiency measures in accordance with the final design energy model. Coordinate with a qualified energy rater per ANSI/RESNET/ICC 301 to verify that each dwelling unit achieves an ERI score of 75 or less.</t>
  </si>
  <si>
    <t>Install energy efficiency measures in accordance with the final design energy model. Coordinate with a qualified Rater per ANSI/RESNET/ICC 301 to verify that each dwelling unit achieves an ERI score at least 5 points more efficient than ENERGY STAR Multifamily New Construction program's ERI Target Score, or is at least 5% more efficient than the program's ASHRAE target.</t>
  </si>
  <si>
    <t>Install energy efficiency measures in accordance with the final design energy model. Coordinate with a qualified Rater per ANSI/RESNET/ICC 301 to verify that each single family home, duplex, and/or townhouse achieves an ERI score at least 5 points more efficient than the ENERGY STAR Single Family New Homes program's ERI Target Score.</t>
  </si>
  <si>
    <t xml:space="preserve">Install energy efficiency measures in accordance with the final design energy model, which demonstrates compliance with ASHRAE Standard 90.1-2013, according to the methodology in Appendix G 90.1-2016. </t>
  </si>
  <si>
    <t>Install energy efficiency measures in accordance with the final design energy model, which demonstrates compliance with the version of Title 24 under which the project is permitted.</t>
  </si>
  <si>
    <t>Install energy efficiency measures in accordance with the final design energy model, which demonstrates compliance with the Energy Outreach Colorado program.</t>
  </si>
  <si>
    <t>Install energy efficiency measures in accordance with the final design energy model, which demonstrates at least 5% savings beyond ASHRAE Standard 90.1-2013, according to the methodology in Appendix G 90.1-2016, excluding on-site power generation.</t>
  </si>
  <si>
    <t>Install energy efficiency measures in accordance with the final design energy model, which demonstrates at least 5% savings beyond the version of Title 24 under which the project is permitted.</t>
  </si>
  <si>
    <t>No gas or propane equipment is installed for dwelling unit space heating or dwelling unit water heating, or dwelling units are served by a central system.</t>
  </si>
  <si>
    <t>In-unit gas or propane equipment is installed for BOTH dwelling unit space and water heating</t>
  </si>
  <si>
    <t>In-unit gas or propane equipment is installed for dwelling unit space heating.</t>
  </si>
  <si>
    <t>in-unit gas or propane equipment is installed for dwelling unit water heating</t>
  </si>
  <si>
    <t>Show for MF Only, New construction and substantial rehabs, and moderate rehab if selected for points</t>
  </si>
  <si>
    <t>Photos of installed EV-capable or EV-ready infrastructure.</t>
  </si>
  <si>
    <t>VOC content of all interior paints, coatings and primers is less than or equal to the thresholds in the most recent version of SCAQMD 1113.</t>
  </si>
  <si>
    <t>At least 50% (by cost or volume) of all paints are mineral paint, such as lime or mineral silicate.</t>
  </si>
  <si>
    <t>- 90% (by cost or volume) of the remaining paints, coatings, and primers have VOC content less than or equal to thresholds in the most recent version of SCAQMD 1113 and VOC emissions are compliant with the CDPH Standard Method for school or residential exposure scenarios.</t>
  </si>
  <si>
    <r>
      <t>At least 90%</t>
    </r>
    <r>
      <rPr>
        <b/>
        <sz val="11"/>
        <color rgb="FF0A0A0A"/>
        <rFont val="Calibri"/>
        <family val="2"/>
        <scheme val="minor"/>
      </rPr>
      <t xml:space="preserve"> </t>
    </r>
    <r>
      <rPr>
        <sz val="11"/>
        <color rgb="FF0A0A0A"/>
        <rFont val="Calibri"/>
        <family val="2"/>
        <scheme val="minor"/>
      </rPr>
      <t>(by cost or volume) of interior paints, coatings, and primers are free of PFAS and alkylphenol ethoxylates (APEs), or are mineral paints.</t>
    </r>
  </si>
  <si>
    <t>Show, unless meeting NAF for 2 optional points.</t>
  </si>
  <si>
    <t>Install passive radon-resistant features below the slab as indicated by construction documents.</t>
  </si>
  <si>
    <t>Conduct a pre-construction test for radon by a radon professional in accordance with ANSI-AARST MA-MFLB-2023. In time-sensitive situations, consistent with the U.S. Department of Housing and Urban Development’s (HUD) radon policy, a radon professional may sample a minimum of 25% of randomly selected ground-level dwelling units. If test results exceed 4 pCi/L (picocuries per liter), install radon-reduction measures outlined in ANSI-AARST SGM-MFLB-2023.</t>
  </si>
  <si>
    <t>Show for new construction/substantial rehab, and moderate rehab if something is selected for points</t>
  </si>
  <si>
    <t>Show for new construction/substantial rehab, and maybe moderate rehab if something is selected for points</t>
  </si>
  <si>
    <t>Show for substantial rehab, and moderate rehab if selected for points.</t>
  </si>
  <si>
    <t>Faucets in all common spaces and 25% of all faucets in dwelling units are anti-scald or thermostatic (e.g., kitchen, bath, utility sink, as applicable).</t>
  </si>
  <si>
    <t>Show if Rehab</t>
  </si>
  <si>
    <t>Energy raters must be qualified per ANSI/RESNET/ICC 301.</t>
  </si>
  <si>
    <t>Show if rehab 5.2b option 1a, hide if using option 5.3</t>
  </si>
  <si>
    <t>Show if rehab 5.2b option 2, hide if using option 5.3</t>
  </si>
  <si>
    <t>Show if any items under 5.2b apply</t>
  </si>
  <si>
    <t>Show if rehab, California, hide if using option 5.3</t>
  </si>
  <si>
    <t>Show if rehab 5.2b option 1, or option 1b, hide if using option 5.3</t>
  </si>
  <si>
    <t>Show if rehab using CO program, hide if using 5.3, Option 2</t>
  </si>
  <si>
    <t>Show if 5.3 Option 3, substantial rehab, and ERI used for 5.2b</t>
  </si>
  <si>
    <t>Show if 5.3 Option 3, moderate rehab, and ERI used for 5.2b</t>
  </si>
  <si>
    <t>Show if 5.3 Option 3, substantial rehab, and T24 used for 5.2b</t>
  </si>
  <si>
    <t>Show if 5.3 Option 3, moderate rehab, and T24 used for 5.2b</t>
  </si>
  <si>
    <t>Submit energy model report demonstrating project energy performance at least 15% better than the version of Title 24 under which the project is permitted.</t>
  </si>
  <si>
    <t>Submit energy model report demonstrating project energy performance at least 10% better than the version of Title 24 under which the project is permitted.</t>
  </si>
  <si>
    <t>All installed products meet energy efficiency requirements necessary for project energy performance to be at least 15% better than the version of Title 24 under which the project is permitted.</t>
  </si>
  <si>
    <t>All installed products meet energy efficiency requirements necessary for project energy performance to be at least 10% better than the version of Title 24 under which the project is permitted.</t>
  </si>
  <si>
    <t>Install energy efficiency measures in accordance with the final design energy model. Coordinate with a qualified energy rater to verify that the building's energy performance achieves at least 15% savings beyond ASHRAE Standard 90.1-2013, according to the methodology in Appendix G 90.1-2016, excluding on-site power generation.</t>
  </si>
  <si>
    <t>Install energy efficiency measures in accordance with the final design energy model. Coordinate with a qualified energy rater to verify that the project's energy performance is at least 15% better than the version of Title 24 under which the project is permitted.</t>
  </si>
  <si>
    <t>Install energy efficiency measures in accordance with the final design energy model. Coordinate with a qualified energy rater to verify that the project's energy performance is at least 10% better than the version of Title 24 under which the project is permitted.</t>
  </si>
  <si>
    <t>Install energy efficiency measures in accordance with the final design energy model. Coordinate with a qualified energy rater to verify that the building's energy performance achieves at least 10% savings beyond ASHRAE Standard 90.1-2013, according to the methodology in Appendix G 90.1-2016, excluding on-site power generation.</t>
  </si>
  <si>
    <t>Or, if no combustion-fueled appliances are located within the dwelling unit, heat- or energy-recovery ventilator or a ceiling- or wall-mounted fan exhausts kitchen air to the outdoors with a continuous rate of 5 ACH or 25 CFM (per Table M1507.3 of the 2009 International Residential Code).</t>
  </si>
  <si>
    <t>Meet all Mandatory criterion and all Optional criterion as identified and specified by the design team, as required to achieve certification through Enterprise Green Communities, including following the education plans developed by the project team for the contractor, subcontractors, and consultants to ensure that those working on the jobsite fully understand their role in achieving the project objectives for Green Communities certification. Coordination between installation contractors and testing and verification contractors as needed to ensure compliance with requirements.</t>
  </si>
  <si>
    <t>Execute Environmental Protection Agency (EPA) National Pollutant Discharge Elimination System (NPDES) Construction General Permit for Stormwater Discharges, or local requirements - whichever is more stringent.</t>
  </si>
  <si>
    <t>Execute erosion and sedimentation control plan, including the following strategies:
- Stockpile and protect high-quality site soils to be reused.
- Control the path and velocity of runoff with silt fencing or comparable measures.
- Protect ecologically sensitive areas, such as on-site storm sewer inlets, watercourses, and water bodies, by applying straw bales, silt fencing, silt sacks, rock filters, or comparable measures.
- Provide swales to divert surface water from hillsides.
- Identify and protect healthy trees with a diameter at breast height greater than 5 inches during construction. Install tree-protection fencing outside the critical root zone. Do not preserve invasive species or trees that present a hazard.
- If soil in a sloped area is disturbed during construction, use tiers, erosion blankets (geotextile mats), compost blankets, filter socks and berms, or an equivalent approach to keep soil stabilized. The maximum gradient should be consistent with existing natural conditions in the surrounding area. In hot, arid climates, use lesser gradients on south- and west-facing slopes to improve landscape reestablishment and ongoing viability.</t>
  </si>
  <si>
    <t>Lead testing and remediation: Contractor is responsible to ensure lead testing is executed, as applicable, prior to installation of remediation measures as required by the 2026 Criteria.</t>
  </si>
  <si>
    <t>Replace all lead service lines, ensuring replacement extends from water main to building's main interior shut-off valve. Replace the line before or while replacing the associated water heater(s). Document all completed replacements via inspection reports, photographs, or confirmation from the licensed plumber or utility responsible for the replacement.</t>
  </si>
  <si>
    <t>EV-Capable</t>
  </si>
  <si>
    <t>EV-Ready</t>
  </si>
  <si>
    <t>A parking space is considered EV capable when it has electrical capacity and conduit installed to support a Level 2 EV charger but lacks the wiring and outlet.</t>
  </si>
  <si>
    <t>A parking space is considered EV ready when it has all components wired and installed to support a Level 2 EV charger but lacks the charger itself. </t>
  </si>
  <si>
    <t>Install Level 2 EV-capable, EV-ready, or EVSE spaces in more than 50% of the total number of spaces on the site.</t>
  </si>
  <si>
    <t>Conform to execution requirements in accordance with 01 81 13 under Criterion 7.14.</t>
  </si>
  <si>
    <t>Show if any items under this section apply</t>
  </si>
  <si>
    <t>Provide products in accordance with 01 81 13 under Criterion 6.2, Strategy D.</t>
  </si>
  <si>
    <t>Conform to execution requirements in accordance with 01 81 13 under Criterion 6.2, Strategies A, C, and D (as applicable).</t>
  </si>
  <si>
    <t>Submit documentation in accordance with 01 81 13 under Criterion 6.2, Strategies A, C, and D (as applicable).</t>
  </si>
  <si>
    <t>All products meet the requirements of the EPA Indoor AirPlus program.</t>
  </si>
  <si>
    <t>Materials used for surfaces throughout bathrooms, kitchens, and laundry rooms are durable, cleanable, and are not prone to deterioration due to moisture intrusion.</t>
  </si>
  <si>
    <t>Interior materials in dwelling units meet biophilic design requirements (natural materials/patterns that mimic nature).</t>
  </si>
  <si>
    <t xml:space="preserve">All B4 - rated fixtures:
- Minimum distance to property line: 2 mounting heights
All B3 - rated fixtures:
- Minimum distance to property line: 1 mounting height
- If installed less than 2 mounting heights from the property line, must be mounted with backlight portion of light output oriented perpendicular and towards the property line. 
All B2 or B1 - rated fixtures:
- Minimum distance to property line: 0.5 mounting height
- If installed less than 1 mounting height from the property line, must be mounted with backlight portion of light output oriented perpendicular and towards the property line. 
All B0 - rated fixtures: 
- If installed 0.5 or fewer mounting heights to property line, must be mounted with backlight portion of light output oriented perpendicular and towards the property line. 
All G2 - rated fixtures:
- Minimum distance to property line: 2 mounting heights, unless mounted with backlight perpendicular to property line.
All G1 - rated fixtures:
- Minimum distance to property line: 1 mounting height, unless mounted with backlight perpendicular to property line.
</t>
  </si>
  <si>
    <t>Criterion 3.4 Surface Stormwater Management</t>
  </si>
  <si>
    <t>Criterion 3.5 Outdoor Water Use: Efficient Irrigation</t>
  </si>
  <si>
    <t>Install a smooth, universally accessible sidewalk or path from the residents' pick-up/drop-off area to the building entry and to the public street, including curb ramps and ADA-compliant turning radii at landing.</t>
  </si>
  <si>
    <t>Install contrasting textures, paving patterns, tactile strips, planters, fenceposts, and/or bollards to differentiate and delineate pedestrian-only space from curbless streets.</t>
  </si>
  <si>
    <t>Signage installed where walking/rolling paths or sidewalks cross vehicular driveways, service access, or loading zones, indicating that vehicles should yield to people walking or rolling.</t>
  </si>
  <si>
    <t>Install accessible sidewalk or path from building to recreation space.</t>
  </si>
  <si>
    <t>In hurricane-prone regions, exterior sheathing and pressure-rated windows and doors installed per FORTIFIED Gold requirements.</t>
  </si>
  <si>
    <t>Install service disconnect at a readily accessible location above the DFE.</t>
  </si>
  <si>
    <t xml:space="preserve">Shrubs planted in ignition zone 1 (5 - 30ft from each building) are spaced to resist spread of fire. </t>
  </si>
  <si>
    <t xml:space="preserve">Prior to construction start, test makeup-water meter.  </t>
  </si>
  <si>
    <t>Conduct testing of hot water fixtures to verify no more than 1.8 gallons of water in any piping/manifold between the fixture and the hot water source. No more than 1.8 gallons of water shall be collected from the fixture before a 10°F rise in temperature is observed.</t>
  </si>
  <si>
    <t>Conduct testing of hot water fixtures to verify no more than 0.5 gallons of water in any piping/manifold between the fixture and the hot water source. To account for the additional water that must be removed from the system before hot water can be delivered, no more than 0.6 gallons of water shall be collected from the fixture before a 10°F rise in temperature is observed.</t>
  </si>
  <si>
    <t>Install as many EV-capable, EV-ready, and/or EVSE spaces as can be accommodated within the project's current electrical service capacity.</t>
  </si>
  <si>
    <t>Install as many EV-capable, EV-ready, and/or EVSE spaces as can be accommodated within the project's current electrical service capacity or the project's upgraded service capacity, after capacity is diverted to electrifying other end uses.</t>
  </si>
  <si>
    <t>- For EV-capable spaces, provide electrical capacity and install conduit to support a Level 2 EV charger. EV-capable spaces are not required to have wiring or an outlet.
- For EV-ready spaces, install all components (including wiring and outlets) required to support a Level 2 EV charger. EV-ready spaces are not required to include a charger.</t>
  </si>
  <si>
    <t>Measures may include interior insulated window shades with a full-perimeter track, or exterior architectural features/overhangs and/or attachments (fins, shutters, blinds, awnings).</t>
  </si>
  <si>
    <t>Conduct a pre-demolition salvage assessment. Identify building materials, soils, and landscaping to be removed. Create and follow a plan to divert at least 35% from landfill.</t>
  </si>
  <si>
    <t>Create end-of-use guidance for five product categories, identifying products, locations in the building, installed quantities, anticipated life spans, and recommended actions to salvage them or recover them for recycling. Include information for specific organizations or businesses that will assist with end of use. Train the building manager to enact this guidance.</t>
  </si>
  <si>
    <t>Create guidance on disassembly methods for installed modular construction elements.</t>
  </si>
  <si>
    <t>No flexible PVC with phthalates is installed (in either vinyl flooring or carpet backings).</t>
  </si>
  <si>
    <t>Fit all connecting doors between conditioned space and garages with gaskets or make these doorways substantially airtight with weather stripping and airtight door sweeps.</t>
  </si>
  <si>
    <t>Install mechanical ventilation system(s) serving hallways, stairwells, and common/amenity spaces in accordance with ASHRAE 62.1-2022 and manufacturer's recommendations.</t>
  </si>
  <si>
    <t>Install all dwelling-unit ventilation systems to operate as designed, with flow rates within +/- 15 CFM or +/- 15% of design value, whichever is smaller. Verify these flow rates.</t>
  </si>
  <si>
    <t>Conduct a condensation evaluation for window-to-wall connections and at any non-thermally-broken metal penetrations through the exterior envelope.</t>
  </si>
  <si>
    <t>For projects with crawl spaces that have no concrete slab, install a vapor retarder as follows:
- Install at least 8mm cross-laminated polyethylene on the crawlspace floor, extended up at least 12 inches on piers and foundation walls, and with joints overlapping at least 12 inches. 
- Line the likely “high-traffic” areas of the crawl space with foam board so the polyethylene beneath will not be disturbed.</t>
  </si>
  <si>
    <t>Install floor finishes with subtle, neutral patterns and plain matte finishes in common spaces and at least 25% of dwelling units.</t>
  </si>
  <si>
    <t>Provide at least 3 seats in each common space using moveable furniture.</t>
  </si>
  <si>
    <t>Conform to execution requirements in accordance with 01 81 13 under Criterion 9.3.</t>
  </si>
  <si>
    <t>Show if relevant section shown in Section 01 81 13  Sustainability Requirements</t>
  </si>
  <si>
    <t>Provide products in accordance with 01 81 13 under Criterion 6.2.</t>
  </si>
  <si>
    <t>Show</t>
  </si>
  <si>
    <t>Submit documentation in accordance with 01 81 13 under Criterion 7.14 Strategy L (Handles and controls).</t>
  </si>
  <si>
    <t>Provide products in accordance with 01 81 13 under Criterion 7.14 Strategy L (Handles and controls).</t>
  </si>
  <si>
    <t>Conform to execution requirements in accordance with 01 81 13 under Criterion 7.14 Strategy K (Accessible thresholds).</t>
  </si>
  <si>
    <t>No EGC Requirements</t>
  </si>
  <si>
    <t>Conform to execution requirements in accordance with 01 81 13 under Criterion 7.14 Strategy N (Doorway width).</t>
  </si>
  <si>
    <t>Conform to execution requirements in accordance with 01 81 13 under Criterion 7.13 Strategy C (Stagger entry doors).</t>
  </si>
  <si>
    <t>Locate dwelling unit entry doors to be staggered (across corridor or across walkways, in walk-up apartments), as specified in construction documents.</t>
  </si>
  <si>
    <t>Show for Strategy C</t>
  </si>
  <si>
    <t>Attestation and documentation, as required by the project team, that the as-built project meets ASCE 24-24.</t>
  </si>
  <si>
    <t xml:space="preserve">Submit pre-build and as-built photo documentation showing extent of structures, roads, and parking areas before and after construction. </t>
  </si>
  <si>
    <t>Product data and/or photo documentation of long-term bicycle storage.</t>
  </si>
  <si>
    <t>Photo documentation showing implementation of erosion and sedimentation control plan throughout construction.</t>
  </si>
  <si>
    <t>Photo documentation showing implementation throughout construction of 2022 U.S. Environmental Protection Agency (EPA) National Pollutant Discharge Elimination System (NPDES) Construction General Permit for Stormwater Discharges.</t>
  </si>
  <si>
    <t>Submit product data for plantings.</t>
  </si>
  <si>
    <t>Submit documentation showing mounting heights of all exterior lighting fixtures.</t>
  </si>
  <si>
    <t>Documentation or attestation that the building meets the DarkSky Luminaires Program, Version 3.0.</t>
  </si>
  <si>
    <t>Documentation or attestation that the building meets the Florida Fish and Wildlife Conservation Commission (FWC) Guidelines.</t>
  </si>
  <si>
    <t>Submit as-built site plan showing surface stormwater management features installed in accordance with the surface stormwater management design, or other documentation as required by the project team.</t>
  </si>
  <si>
    <t>Product data for automated irrigation controllers.</t>
  </si>
  <si>
    <t>Product data (cut sheets, control sequence and instructions, operations and maintenance data, and warranty information) for all system components related to water reuse for irrigation including storage tank(s), plumbing valves and controls, and other associated equipment.</t>
  </si>
  <si>
    <t>Documentation that the irrigation system is installed according to the design of a professional certified by the American Rainwater Catchment Systems Association.</t>
  </si>
  <si>
    <t>Product data (including cut sheets, control sequence and instructions, operations and maintenance data, and warranty information) for crossing signals.</t>
  </si>
  <si>
    <t>Product data for roofing materials showing three-year-aged solar reflectance index (SRI).</t>
  </si>
  <si>
    <r>
      <t>P</t>
    </r>
    <r>
      <rPr>
        <sz val="11"/>
        <color theme="1"/>
        <rFont val="Calibri"/>
        <family val="2"/>
        <scheme val="minor"/>
      </rPr>
      <t xml:space="preserve">roduct data indicating solar reflectance of paving materials. </t>
    </r>
  </si>
  <si>
    <t>Product data showing paving system classification.</t>
  </si>
  <si>
    <t>Proof of FORTIFIED certification.</t>
  </si>
  <si>
    <t>Submit product data as required for FORTIFIED Multifamily.</t>
  </si>
  <si>
    <t>Submit product data as required for FORTIFIED Single Family.</t>
  </si>
  <si>
    <t>Photos of entry doors shows they are installed to swing out.</t>
  </si>
  <si>
    <t>Product data showing wind rating of asphalt shingles.</t>
  </si>
  <si>
    <t>Product data showing wind rating of roof coverings.</t>
  </si>
  <si>
    <t>Representative photos of blocking installed between top plates and roof sheathing.</t>
  </si>
  <si>
    <t>Documentation for the garage door assembly (door and all associated hardware and components) showing wind pressure rating, OR product data showing wind and impact rating of  shutter/screen product installed to protect the garage door.</t>
  </si>
  <si>
    <t>Documentation for the garage door assembly (door and all associated hardware and components) showing wind pressure rating and impact rating, OR product data showing wind and impact rating of  shutter/screen product installed to protect the garage door.</t>
  </si>
  <si>
    <t>Product data for fiber cement cladding showing wind rating.</t>
  </si>
  <si>
    <t>Product data for fiber cement cladding and attachments showing wind and pressure ratings.</t>
  </si>
  <si>
    <t>Photo documentation showing chimney height or installation in accordance with the design of a certified engineer.</t>
  </si>
  <si>
    <t>Product data for solar PV showing rating for wind and snow/hail rating.</t>
  </si>
  <si>
    <t>Representative photos showing locations of installed insulation.</t>
  </si>
  <si>
    <t xml:space="preserve">Documentation showing final installed elevation of lowest floor. </t>
  </si>
  <si>
    <t>Product data for roof covering materials.</t>
  </si>
  <si>
    <t>Product data for soffits.</t>
  </si>
  <si>
    <t>Product data for windows.</t>
  </si>
  <si>
    <t>WaterSense certification documentation for all newly installed toilets, showerheads, and lavatory faucets.</t>
  </si>
  <si>
    <t>Inspection reports and/or photographs documenting all completed water line replacements.</t>
  </si>
  <si>
    <t xml:space="preserve">Retain if project selects this requirement to earn optional points. </t>
  </si>
  <si>
    <t>WaterSense certification for all dwelling unit showerheads, bath faucets, and aerators.</t>
  </si>
  <si>
    <t>Product data for dwelling unit windows .</t>
  </si>
  <si>
    <t>Product data for carbon monoxide alarms.</t>
  </si>
  <si>
    <t>Product data for in-unit kitchen mechanical exhaust systems.</t>
  </si>
  <si>
    <t>Product data for bathroom mechanical exhaust systems. Include proof of ENERGY STAR  certification for fans serving individual bathrooms.</t>
  </si>
  <si>
    <t>Product data for whole-house mechanical ventilation system.</t>
  </si>
  <si>
    <t>Product data for a mechanical ventilation system serving all hallways, stairwells, and common/amenity spaces.</t>
  </si>
  <si>
    <t>Documentation showing composite Outdoor-Indoor Transmission Class (OITC) rating for exterior walls.</t>
  </si>
  <si>
    <t>Documentation showing Outdoor-Indoor Transmission Class (OITC) rating for windows.</t>
  </si>
  <si>
    <t>Documentation showing Sound Transmission Class (STC) rating or Apparent Sound Transmission Class (ASTC) for separation walls.</t>
  </si>
  <si>
    <t>Documentation showing Impact Insulation Class (IIC) rating or Apparent Impact Insulation Class (AIIC) for floor and ceiling assemblies between dwelling units.</t>
  </si>
  <si>
    <t>Photos of signage for wayfinding.</t>
  </si>
  <si>
    <t>Photos of interior floor finishes.</t>
  </si>
  <si>
    <t>Product data for floor finishes used in common spaces, hallways, entryways, and outdoor pathways.</t>
  </si>
  <si>
    <t>Photos showing thresholds for interior and exterior doors.</t>
  </si>
  <si>
    <t>Photo of storage space for mobility equipment (wheelchairs, walkers, electric scooters, strollers).</t>
  </si>
  <si>
    <t>Conform to execution requirements in accordance with 01 81 13 under Criterion 7.9a.</t>
  </si>
  <si>
    <t>Conform to execution requirements in accordance with 01 81 13 under Criterion 7.9b</t>
  </si>
  <si>
    <t>Unit Paving</t>
  </si>
  <si>
    <t>Submit documentation in accordance with 01 81 13 under Criterion  5.2a.</t>
  </si>
  <si>
    <t>Conform to execution requirements in accordance with 01 81 13 under Criterion 6.4.</t>
  </si>
  <si>
    <t>Submit documentation in accordance with 01 81 13 under Criterion  3.10.</t>
  </si>
  <si>
    <t>Provide products in accordance with 01 81 13 under Criterion 7.3.</t>
  </si>
  <si>
    <t>Submit documentation in accordance with 01 81 13 under Criterion 7.3.</t>
  </si>
  <si>
    <t>Conform to execution requirements in accordance with 01 81 13 under Criterion 7.3.</t>
  </si>
  <si>
    <t>Submit documentation in accordance with 01 81 13 under Criterion 3.8.</t>
  </si>
  <si>
    <t>Provide products in accordance with 01 81 13 under Criterion 3.8.</t>
  </si>
  <si>
    <t>Conform to execution requirements in accordance with 01 81 13 under Criterion 3.8.</t>
  </si>
  <si>
    <t>Static Show/Hide for Referencs</t>
  </si>
  <si>
    <t>2.10</t>
  </si>
  <si>
    <t>3.10</t>
  </si>
  <si>
    <t>3.11</t>
  </si>
  <si>
    <t>7.10</t>
  </si>
  <si>
    <t>7.11</t>
  </si>
  <si>
    <t>7.13</t>
  </si>
  <si>
    <t>5.2a</t>
  </si>
  <si>
    <t>5.2b</t>
  </si>
  <si>
    <t>7.9a</t>
  </si>
  <si>
    <t>7.9b</t>
  </si>
  <si>
    <t>7.12a</t>
  </si>
  <si>
    <t>7.12b</t>
  </si>
  <si>
    <t>Submit documentation in accordance with 01 81 13 under Criterion  3.9.</t>
  </si>
  <si>
    <t>Submit documentation in accordance with 01 81 13 under Criterion 7.13.</t>
  </si>
  <si>
    <t>Submit documentation in accordance with 01 81 13 under Criterion 7.14</t>
  </si>
  <si>
    <t>Provide products in accordance with 01 81 13 under Criterion 7.13.</t>
  </si>
  <si>
    <t>Provide products in accordance with 01 81 13 under Criterion 7.14.</t>
  </si>
  <si>
    <t>Conform to execution requirements in accordance with 01 81 13 under Criterion 7.13.</t>
  </si>
  <si>
    <t>Submit documentation in accordance with 01 81 13 under Criterion  3.11.</t>
  </si>
  <si>
    <t>Provide products in accordance with 01 81 13 under Criterion 7.12a.</t>
  </si>
  <si>
    <t>Provide products in accordance with 01 81 13 under Criterion 7.12b.</t>
  </si>
  <si>
    <t>Conform to execution requirements in accordance with 01 81 13 under Criterion 7.12b.</t>
  </si>
  <si>
    <t>Submit documentation in accordance with 01 81 13 under Criterion 7.12a.</t>
  </si>
  <si>
    <t>Submit documentation in accordance with 01 81 13 under Criterion 7.12b.</t>
  </si>
  <si>
    <t>Submit documentation in accordance with 01 81 13 under Criterion 7.14.</t>
  </si>
  <si>
    <t>Conform to execution requirements in accordance with 01 81 13 under Criterion 7.14, Strategy F (Accessible Restroom).</t>
  </si>
  <si>
    <t>Submit documentation in accordance with 01 81 13 under Criterion 7.14, Strategy F (Accessible Restroom).</t>
  </si>
  <si>
    <t>Conform to execution requirements in accordance with 01 81 13 under Criterion 7.17.</t>
  </si>
  <si>
    <t>Provide products in accordance with 01 81 13 under Criterion 7.17.</t>
  </si>
  <si>
    <t>Submit documentation in accordance with 01 81 13 under Criterion 7.17.</t>
  </si>
  <si>
    <t>Conform to execution requirements in accordance with 01 81 13 under Criterion 7.10</t>
  </si>
  <si>
    <t>Submit documentation in accordance with 01 81 13 under Criterion 7.10.</t>
  </si>
  <si>
    <t>Provide products in accordance with 01 81 13 under Criterion 7.10.</t>
  </si>
  <si>
    <t>Conform to execution requirements in accordance with 01 81 13 under Criterion 7.15</t>
  </si>
  <si>
    <t>Provide products in accordance with 01 81 13 under Criterion 7.15.</t>
  </si>
  <si>
    <t>Submit documentation in accordance with 01 81 13 under Criterion 7.15.</t>
  </si>
  <si>
    <t>Submit documentation in accordance with 01 81 13 under Criterion 7.16.</t>
  </si>
  <si>
    <t>Provide products in accordance with 01 81 13 under Criterion 7.16.</t>
  </si>
  <si>
    <t>Conform to execution requirements in accordance with 01 81 13 under Criterion 7.10.</t>
  </si>
  <si>
    <t>Conform to execution requirements in accordance with 01 81 13 under Criterion 7.16.</t>
  </si>
  <si>
    <t>Conform to execution requirements in accordance with 01 81 13 under Criterion 7.15.</t>
  </si>
  <si>
    <t>Submit documentation in accordance with 01 81 13 under Criterion 2.6.</t>
  </si>
  <si>
    <t>Submit documentation in accordance with 01 81 13 under Criterion 7.14, Strategy A (if used).</t>
  </si>
  <si>
    <t>Conform to execution requirements in accordance with 01 81 13 under Criterion 2.6.</t>
  </si>
  <si>
    <t>Conform to execution requirements in accordance with 01 81 13 under Criterion 7.14, Strategy A (if used).</t>
  </si>
  <si>
    <t>Provide products in accordance with 01 81 13 under Criterion 7.14, Strategy A (if used).</t>
  </si>
  <si>
    <t>Submit documentation in accordance with 01 81 13 under Criterion 7.14, Strategies F, I and/or O (as applicable).</t>
  </si>
  <si>
    <t>Provide products in accordance with 01 81 13 under Criterion 7.14, Strategy A Strategies F, I and/or O (as applicable).</t>
  </si>
  <si>
    <t>Conform to execution requirements in accordance with 01 81 13 under Criterion 7.14, Strategies F, I and/or O (as applicable).</t>
  </si>
  <si>
    <t>Submit documentation in accordance with 01 81 13 under Criterion 7.13, Strategy I (if used).</t>
  </si>
  <si>
    <t>Provide products in accordance with 01 81 13 under Criterion 7.13, Strategy I (if used).</t>
  </si>
  <si>
    <t>Submit documentation in accordance with 01 81 13 under Criterion 7.13, Strategies G, I, and/or P (if used).</t>
  </si>
  <si>
    <t>Provide products in accordance with 01 81 13 under Criterion 7.13, Strategies G, I, and/or P (if used).</t>
  </si>
  <si>
    <t>Conform to execution requirements in accordance with 01 81 13 under Criterion 7.13, Strategies G, I, and/or P (if used).</t>
  </si>
  <si>
    <t>Conform to execution requirements in accordance with 01 81 13 under Criterion 7.13 Strategy I (if used).</t>
  </si>
  <si>
    <t>Submit documentation in accordance with 01 81 13 under Criterion 5.9.</t>
  </si>
  <si>
    <t>Provide products in accordance with 01 81 13 under Criterion 5.9.</t>
  </si>
  <si>
    <t>Conform to execution requirements in accordance with 01 81 13 under Criterion 5.9.</t>
  </si>
  <si>
    <t>Submit documentation in accordance with 01 81 13 under Criterion 7.11</t>
  </si>
  <si>
    <t>Provide products in accordance with 01 81 13 under Criterion 7.11.</t>
  </si>
  <si>
    <t>Conform to execution requirements in accordance with 01 81 13 under Criterion 7.11.</t>
  </si>
  <si>
    <t>Conform to execution requirements in accordance with 01 81 13 under Criterion 7.14, Strategy O (if used).</t>
  </si>
  <si>
    <t>Submit documentation in accordance with 01 81 13 under Criterion 7.14, Strategy O (if used).</t>
  </si>
  <si>
    <t>Submit documentation in accordance with 01 81 13 under Criterion 5.4a/b (as applicable).</t>
  </si>
  <si>
    <t>Provide products in accordance with 01 81 13 under Criterion 5.4a/b (as applicable).</t>
  </si>
  <si>
    <t>Conform to execution requirements in accordance with 01 81 13 under Criterion 5.4a/b (as applicable).</t>
  </si>
  <si>
    <t>Conform to execution requirements in accordance with 01 81 13 under Criterion 5.3</t>
  </si>
  <si>
    <t>Submit documentation in accordance with 01 81 13 under Criterion 6.5.</t>
  </si>
  <si>
    <t>Conform to execution requirements in accordance with 01 81 13 under Criterion 6.5.</t>
  </si>
  <si>
    <t>Submit documentation in accordance with 01 81 13 under Criterion 6.2, Strategy E (if used).</t>
  </si>
  <si>
    <t>Provide products in accordance with 01 81 13 under Criterion 6.2, Strategy E (if used).</t>
  </si>
  <si>
    <t>Conform to execution requirements in accordance with 01 81 13 under Criterion 6.2, Strategy E (if used).</t>
  </si>
  <si>
    <t>Submit documentation in accordance with 01 81 13 under Criterion 7.14, Strategies D and/or G (if used).</t>
  </si>
  <si>
    <t>Conform to execution requirements in accordance with 01 81 13 under Criterion 7.14, Strategies D and/or G (if used).</t>
  </si>
  <si>
    <t>Provide products in accordance with 01 81 13 under Criterion 7.14, Strategy D (if used).</t>
  </si>
  <si>
    <t>Submit documentation in accordance with 01 81 13 under Criterion 2.6, Increased Bikeability (if used).</t>
  </si>
  <si>
    <t>Conform to execution requirements in accordance with 01 81 13 under Criterion 2.6, Increased Bikeability (if used).</t>
  </si>
  <si>
    <t>Submit documentation in accordance with 01 81 13 under Criterion 7.15, Water Features (if used).</t>
  </si>
  <si>
    <t>Provide products in accordance with 01 81 13 under Criterion 7.15, Water Features (if used).</t>
  </si>
  <si>
    <t>Conform to execution requirements in accordance with 01 81 13 under Criterion 7.15, Water Features (if used).</t>
  </si>
  <si>
    <t>Provide products in accordance with 01 81 13 under Criterion 6.2, Strategy D (if used).</t>
  </si>
  <si>
    <t>Conform to execution requirements in accordance with 01 81 13 under Criterion 6.2, Strategy D (if used).</t>
  </si>
  <si>
    <t>Submit documentation in accordance with 01 81 13 under Criterion 4.4.</t>
  </si>
  <si>
    <t>Provide products in accordance with 01 81 13 under Criterion 4.4.</t>
  </si>
  <si>
    <t>Conform to execution requirements in accordance with 01 81 13 under Criterion 4.4.</t>
  </si>
  <si>
    <t>Submit documentation in accordance with 01 81 13 under Criterion 8.5.</t>
  </si>
  <si>
    <t>Conform to execution requirements in accordance with 01 81 13 under Criterion 8.5.</t>
  </si>
  <si>
    <t>Submit documentation in accordance with 01 81 13 under Criterion 4.5.</t>
  </si>
  <si>
    <t>Provide products in accordance with 01 81 13 under Criterion 4.5.</t>
  </si>
  <si>
    <t>Conform to execution requirements in accordance with 01 81 13 under Criterion 4.5.</t>
  </si>
  <si>
    <t>Submit documentation in accordance with 01 81 13 under Criterion 4.1.</t>
  </si>
  <si>
    <t>Submit documentation in accordance with 01 81 13 under Criterion 4.2.</t>
  </si>
  <si>
    <t>Submit documentation in accordance with 01 81 13 under Criterion 4.3.</t>
  </si>
  <si>
    <t>Submit documentation in accordance with 01 81 13 under Criterion 4.7.</t>
  </si>
  <si>
    <t>Provide products in accordance with 01 81 13 under Criterion 4.1.</t>
  </si>
  <si>
    <t>Provide products in accordance with 01 81 13 under Criterion 4.2.</t>
  </si>
  <si>
    <t>Provide products in accordance with 01 81 13 under Criterion 4.3.</t>
  </si>
  <si>
    <t xml:space="preserve">Provide products in accordance with 01 81 13 under Criterion 4.7. </t>
  </si>
  <si>
    <t>Conform to execution requirements in accordance with 01 81 13 under Criterion 4.1.</t>
  </si>
  <si>
    <t>Conform to execution requirements in accordance with 01 81 13 under Criterion 4.3.</t>
  </si>
  <si>
    <t>Conform to execution requirements in accordance with 01 81 13 under Criterion 4.7.</t>
  </si>
  <si>
    <t>Submit documentation in accordance with 01 81 13 under Criterion 4.6.</t>
  </si>
  <si>
    <t>Submit documentation in accordance with 01 81 13 under Criterion 7.8.</t>
  </si>
  <si>
    <t>Provide products in accordance with 01 81 13 under Criterion 4.6.</t>
  </si>
  <si>
    <t>Provide products in accordance with 01 81 13 under Criterion 7.8.</t>
  </si>
  <si>
    <t>Conform to execution requirements in accordance with 01 81 13 under Criterion 7.8.</t>
  </si>
  <si>
    <t>Submit documentation in accordance with 01 81 13 under Criterion 3.4.</t>
  </si>
  <si>
    <t>Submit documentation in accordance with 01 81 13 under Criterion 3.6.</t>
  </si>
  <si>
    <t>Conform to execution requirements in accordance with 01 81 13 under Criterion 3.4.</t>
  </si>
  <si>
    <t>Conform to execution requirements in accordance with 01 81 13 under Criterion 3.6.</t>
  </si>
  <si>
    <t>Submit documentation in accordance with 01 81 13 under Criterion 7.2.</t>
  </si>
  <si>
    <t>Provide products in accordance with 01 81 13 under Criterion 7.2.</t>
  </si>
  <si>
    <t>Conform to execution requirements in accordance with 01 81 13 under Criterion 7.2.</t>
  </si>
  <si>
    <t>Submit documentation in accordance with 01 81 13 under Criterion 7.13, Strategy H (if used).</t>
  </si>
  <si>
    <t>Submit documentation in accordance with 01 81 13 under Criterion 7.14, Strategies G, J, L, and/or O (if used).</t>
  </si>
  <si>
    <t>Provide products in accordance with 01 81 13 under Criterion 7.14, Strategies J and/or L (if used).</t>
  </si>
  <si>
    <t>Conform to execution requirements in accordance with 01 81 13 under Criterion 7.13, Strategy H (if used).</t>
  </si>
  <si>
    <t>Conform to execution requirements in accordance with 01 81 13 under Criterion 7.14, Strategies G and/or O (if used).</t>
  </si>
  <si>
    <t>Submit documentation in accordance with 01 81 13 under Criterion 7.5.</t>
  </si>
  <si>
    <t>Provide products in accordance with 01 81 13 under Criterion 7.5.</t>
  </si>
  <si>
    <t>Conform to execution requirements in accordance with 01 81 13 under Criterion 7.5.</t>
  </si>
  <si>
    <t>Submit documentation in accordance with 01 81 13 under Criterion 7.13, Strategy F (if used).</t>
  </si>
  <si>
    <t>Conform to execution requirements in accordance with 01 81 13 under Criterion 7.13, Strategy F (if used).</t>
  </si>
  <si>
    <t>Submit documentation in accordance with 01 81 13 under Criterion 7.6.</t>
  </si>
  <si>
    <t>Provide products in accordance with 01 81 13 under Criterion 7.6.</t>
  </si>
  <si>
    <t>Submit documentation in accordance with 01 81 13 under Criterion 5.8.</t>
  </si>
  <si>
    <t>Conform to execution requirements in accordance with 01 81 13 under Criterion 5.8.</t>
  </si>
  <si>
    <t>Submit documentation in accordance with 01 81 13 under Criterion 5.5.</t>
  </si>
  <si>
    <t>Provide products in accordance with 01 81 13 under Criterion 5.5.</t>
  </si>
  <si>
    <t>Submit documentation in accordance with 01 81 13 under Criterion 5.6.</t>
  </si>
  <si>
    <t>Conform to execution requirements in accordance with 01 81 13 under Criterion 5.6.</t>
  </si>
  <si>
    <t>Provide products in accordance with 01 81 13 under Criterion 5.6.</t>
  </si>
  <si>
    <t>Submit documentation in accordance with 01 81 13 under Criterion 3.3</t>
  </si>
  <si>
    <t>Submit documentation in accordance with 01 81 13 under Criterion 7.14, Strategies C and/or L (if used).</t>
  </si>
  <si>
    <t>Provide products in accordance with 01 81 13 under Criterion 3.3.</t>
  </si>
  <si>
    <t>Conform to execution requirements in accordance with 01 81 13 under Criterion 3.3.</t>
  </si>
  <si>
    <t>Conform to execution requirements in accordance with 01 81 13 under Criterion 7.14, Strategy C (if used).</t>
  </si>
  <si>
    <t>Provide products in accordance with 01 81 13 under Criterion 7.14, Strategies C and/or L (if used).</t>
  </si>
  <si>
    <t>Submit documentation in accordance with 01 81 13 under Criterion 5.7.</t>
  </si>
  <si>
    <t>Conform to execution requirements in accordance with 01 81 13 under Criterion 5.7.</t>
  </si>
  <si>
    <t>Provide products in accordance with 01 81 13 under Criterion 5.7.</t>
  </si>
  <si>
    <t>Conform to execution requirements in accordance with 01 81 13 under Criterion 2.9.</t>
  </si>
  <si>
    <t>Submit documentation in accordance with 01 81 13 under Criterion 7.14, Strategy G (if used).</t>
  </si>
  <si>
    <t>Conform to execution requirements in accordance with 01 81 13 under Criterion 7.14, Strategy G (if used).</t>
  </si>
  <si>
    <t>Provide products in accordance with 01 81 13 under Criterion 7.13, Strategy D (if used).</t>
  </si>
  <si>
    <t>Conform to execution requirements in accordance with 01 81 13 under Criterion  7.13, Strategy D (if used).</t>
  </si>
  <si>
    <t>Conform to execution requirements in accordance with 01 81 13 under Criterion  7.13, Strategies D and/or G (if used).</t>
  </si>
  <si>
    <t>Submit documentation in accordance with 01 81 13 under Criterion 7.13, Strategy G (if used).</t>
  </si>
  <si>
    <t>Submit documentation in accordance with 01 81 13 under Criterion 7.13, Strategy E (if used).</t>
  </si>
  <si>
    <t>Conform to execution requirements in accordance with 01 81 13 under Criterion 7.13, Strategy E (if used).</t>
  </si>
  <si>
    <t>Conform to execution requirements in accordance with 01 81 13 under Criterion 3.7.</t>
  </si>
  <si>
    <t>Submit documentation in accordance with 01 81 13 under Criterion 3.7.</t>
  </si>
  <si>
    <t xml:space="preserve">Conform to execution requirements in accordance with 01 81 13 under Criterion 2.6, Increased Walkability (if used). </t>
  </si>
  <si>
    <t>Provide products in accordance with 01 81 13 under Criterion 3.7.</t>
  </si>
  <si>
    <t>Submit documentation in accordance with 01 81 13 under Criterion 3.5.</t>
  </si>
  <si>
    <t>Provide products in accordance with 01 81 13 under Criterion 3.5.</t>
  </si>
  <si>
    <t>Conform to execution requirements in accordance with 01 81 13 under Criterion 3.5.</t>
  </si>
  <si>
    <t>Submit documentation in accordance with 01 81 13 under Criterion 3.2.</t>
  </si>
  <si>
    <t>Provide products in accordance with 01 81 13 under Criterion 3.2.</t>
  </si>
  <si>
    <t>Conform to execution requirements in accordance with 01 81 13 under Criterion 7.13, Strategy D (if used).</t>
  </si>
  <si>
    <t>Conform to execution requirements in accordance with 01 81 13 under Criterion 3.2.</t>
  </si>
  <si>
    <t>Provide products in accordance with 01 81 13 under Criterion 4.7.</t>
  </si>
  <si>
    <t>Static Show/Hide for References to Copy/Paste</t>
  </si>
  <si>
    <t>(Unhide rows below to view helper logic)</t>
  </si>
  <si>
    <t>Provide products in accordance with 01 81 13 under Criterion 6.2, Strategy L (Modular Design for Disassembly).</t>
  </si>
  <si>
    <t>Conform to execution requirements in accordance with 01 81 13 under Criterion 7.14, Strategy K (accessible thresholds).</t>
  </si>
  <si>
    <t>Conform to execution requirements in accordance with 01 81 13 under Criterion 7.14, Strategy K (accessible thresholds) and Strategy N (Doorway width), as applicable.</t>
  </si>
  <si>
    <t>Structural members and products used to fasten them meet requirements of licensed engineer-designed load path.</t>
  </si>
  <si>
    <t>SHOW if whole home certification option is used</t>
  </si>
  <si>
    <t>All installed products meet water efficiency requirements necessary to achieve whole-home WaterSense certification.</t>
  </si>
  <si>
    <t>In-unit recirculation pumps (if installed) are demand-initiated by motion or push button, not activated solely based on a timer and/or temperature sensor.</t>
  </si>
  <si>
    <t>All installed products meet water efficiency requirements necessary to earn certification under WaterSense Labeled Homes Version 2.0.</t>
  </si>
  <si>
    <t>Pipe insulation for central recirculating hot water distribution system: 
- If pipe is less than 1.5 inches in diameter: at least 1.5 inches thick (or at least R-10)
- If pipe is at least 1.5 inches in diameter: at least 2 inches thick (or at least R-12)</t>
  </si>
  <si>
    <t>Criterion 4.6: Indoor Water Efficiency - Nonpotable Water Reuse</t>
  </si>
  <si>
    <t>Hot water system has sufficient capacity, storage, and controls to meet hot-water demand from storage alone during region's peak hours.</t>
  </si>
  <si>
    <t>100% of steel produced by electric-arc furnace (instead of by blast furnace or basic oxygen furnace) and/or with at least 90% recycled content.</t>
  </si>
  <si>
    <t>Criterion 7.12a: Sensory and Rest Friendly: Noise Reduction, New Construction</t>
  </si>
  <si>
    <t>Criterion 7.12b: Sensory and Rest Friendly: Noise Reduction, Rehabilitation</t>
  </si>
  <si>
    <t>Criterion 7.16: Healing-Centered and Culturally Responsive Design</t>
  </si>
  <si>
    <t>Install all features indicated in site plan and construction documents to connect to adjacent existing developments and roadways, pedestrian networks, and bikes paths and lanes.</t>
  </si>
  <si>
    <t>Install at least two of these features within the development, as indicated by the construction documents and project team:</t>
  </si>
  <si>
    <t>Criterion 3.9: Resilient Site Design - Wind</t>
  </si>
  <si>
    <t>Criterion 4.2: Advanced Water Conservation</t>
  </si>
  <si>
    <t>Install all plumbing and water fixtures to meet requirements of whole-home WaterSense certification.</t>
  </si>
  <si>
    <t>Show for rehab Options 2 or 3</t>
  </si>
  <si>
    <t>Use and Limitations</t>
  </si>
  <si>
    <t>Each Criteria section is grouped using Excel's "Outline" feature, and can be expanded/collapsed to streamline the user's view of the worksheet by selecting the + and - symbols to the left of each sheet's working area.</t>
  </si>
  <si>
    <t>To view  MasterSpec sections that are relevant to each Criterion and sub-Criterion, expand the list of Divisions and Sections by using the "Outline" feature at the top of the sheet's working area (Columns H through HM).</t>
  </si>
  <si>
    <t>Fill out project information section. As entries are added, input boxes will turn from red to green.</t>
  </si>
  <si>
    <t>Use the filter column (Column C) to hide any rows labeled "Hide" based on inputs to the project information section.  This designation is populated based on inputs to the project information section. To show an explanation for each filter, unhide Column B.</t>
  </si>
  <si>
    <t>Related MasterSpec Sections</t>
  </si>
  <si>
    <t>Compatability Note</t>
  </si>
  <si>
    <t xml:space="preserve">All sheets in this document are optimized for viewing at 100% zoom. Viewing sheets at different levels of zoom may cause text to be unintentionally hidden from view. </t>
  </si>
  <si>
    <t>Show if 4.2, Option 2 is selected</t>
  </si>
  <si>
    <t>Use this tab to identify which specifications will be relevant to your project:</t>
  </si>
  <si>
    <t>Use this tab to customize and print the specifications for your project.</t>
  </si>
  <si>
    <t>Tips for using this tab:</t>
  </si>
  <si>
    <t>Use the filter column (Column C) to hide any rows labeled "Hide" based on inputs in the "EGC Criteria and Spec Matrix" tab. Use the "Outline" feature to collapse or expand MasterSpec sections.</t>
  </si>
  <si>
    <t xml:space="preserve">2. Use the "Filter" column and the outline feature on the left side of the worksheet to show/hide rows as desired.   </t>
  </si>
  <si>
    <t>Once all rows have been shown/hidden as desired, select "Page Break Preview" under the "View" tab of the ribbon to see how specifications will appear when printed or saved as a PDF. Print area is automatically set to print the document as portrait, 8.5x11 sheets.</t>
  </si>
  <si>
    <t xml:space="preserve">1. Review instructions in the "Introduction" tab. </t>
  </si>
  <si>
    <t>Product data for all exterior door assemblies show pressure and impact rating or protection by a system that is rated for the exposure category, design wind speed and door size.</t>
  </si>
  <si>
    <t>Representative photos of borate treatment on framing.</t>
  </si>
  <si>
    <t>Product data for closed cell spray foam wall insulation.</t>
  </si>
  <si>
    <t>Product data for wall sheathing.</t>
  </si>
  <si>
    <t>Documentation showing final installed elevation of lowest floor, for Coastal Zone A. Coastal Zone V: Documentation showing final installed elevation of the bottom of the lowest horizontal structural member.</t>
  </si>
  <si>
    <t>Representative photos of HVAC equipment being elevated, as applicable.</t>
  </si>
  <si>
    <t>Product data for metal mesh covering vents indicating opening size.</t>
  </si>
  <si>
    <t>Product data documenting consumption metrics for all installed fixtures and equipment:
- Toilets: flush rate in gallons per flush (gpf)
- Showerheads (per compartment): flow rate in gallons per minute (gpm) 
- Kitchen and lavatory faucets: flow rate in gallons per minute (gpm)
- Clothes washer: integrated water factor (IWF)
- Dishwasher: gallons per cycle (gpc)</t>
  </si>
  <si>
    <t>Documentation of service pressure and product data for pressure regulator (if applicable).</t>
  </si>
  <si>
    <t>All water quality results from representative fixtures.</t>
  </si>
  <si>
    <t>If any test results trigger application of remediation per local health department, provide remediation requirements.</t>
  </si>
  <si>
    <t>Pressure-loss test results and visual inspection report.</t>
  </si>
  <si>
    <t>Pre-rehabilitation leak assessment report with description of test method used, test results, test locations, location and severity of observed leaks, photo documentation, corrective-action log with status of each issue (fixed, deferred, or in scope), baseline consumption chart/summary, and audit checklist.</t>
  </si>
  <si>
    <t>Construction-Phase Leak Monitoring and Response Log, including a documentation of temporary leak monitoring activities, dates of weekly walk-down inspections, locations of new leaks identified during construction and selective demolition, corrective actions implemented, and status of resolution. Include photographs of significant leak events and moisture damage.</t>
  </si>
  <si>
    <t>Product data, as required by project team, showing that installed products meet applicable standards in ASCE 24-24.</t>
  </si>
  <si>
    <t>If in-dwelling recirculation pump is installed, submit product data for recirculation pump controls and control sequence describing system operation.</t>
  </si>
  <si>
    <t>Photo of ground-mounted HVAC systems.</t>
  </si>
  <si>
    <t>Photo of ground-mounted PV panels.</t>
  </si>
  <si>
    <t>Photo of ground-mounted deck.</t>
  </si>
  <si>
    <t>Product data for all installed water meters and a meter schedule indicating location, metered end use, and communications method. Submit results from commissioning of water metering system, as required by project team.</t>
  </si>
  <si>
    <t>All installed products meet water efficiency requirements as established by the project team’s water consumption reduction calculations.</t>
  </si>
  <si>
    <t>During construction, if domestic hot water remains active, maintain temporary leak monitoring (interval meter, smart valve, or daily reads) and weekly walk-downs of wet rooms and mechanical spaces. Record and address new leaks discovered during selective demolition.</t>
  </si>
  <si>
    <t>Install plumbing system piping in accordance with IAPMO Water Demand calculations or 224 UPC Appendix M, per construction documents.</t>
  </si>
  <si>
    <t>Show for 4.5 Option 1</t>
  </si>
  <si>
    <t>Hide for NYC Overlay</t>
  </si>
  <si>
    <t/>
  </si>
  <si>
    <t>Criterion 4.5 not used.</t>
  </si>
  <si>
    <t>Show for rehab only, hide if NYC Tenant in Place is selected</t>
  </si>
  <si>
    <t>Project is following the NYC Prescriptive Pathway for Tenant in Place Rehabs</t>
  </si>
  <si>
    <t>NYC Option: Shelter in Place Area</t>
  </si>
  <si>
    <t>Show if Exceptions are not claimed</t>
  </si>
  <si>
    <t>Hide for New Construction</t>
  </si>
  <si>
    <t>Site is located in a special flood hazard area.</t>
  </si>
  <si>
    <t>Site is not located in a special flood hazard area.</t>
  </si>
  <si>
    <t>Hide for NYC Overlay, hide for new construction or moderate rehab</t>
  </si>
  <si>
    <t xml:space="preserve">Hide for NYC Overlay, Show for substantial rehab in SFHA. </t>
  </si>
  <si>
    <t xml:space="preserve">Hide for NYC Overlay </t>
  </si>
  <si>
    <t>Hide for NYC Overlay, Show for: projects 1 acre or smaller</t>
  </si>
  <si>
    <t>Hide for NYC Overlay, Show for: projects larger than 1 acre</t>
  </si>
  <si>
    <t>Hide for NY Overlay, Show if new construction, show if rehab and land disturbed is &gt;=5,000 ft2, show if optional points claimed. Otherwise, hide.</t>
  </si>
  <si>
    <t>Product data as required by the New York City Precriptive Pathway for Tenant in Place Rehabs.</t>
  </si>
  <si>
    <t>Show for NYC Tenant in Place</t>
  </si>
  <si>
    <t>Show for NYC Overlay and New construction, Show for new construction, Rehab Option 1 or 2 or NYC 3</t>
  </si>
  <si>
    <t>Show for new construction or rehab using 5.4b Option 1 or 2, hide for NYC Overlay option 3</t>
  </si>
  <si>
    <t>Option 3 (NYC): All systems for space heating and cooling are electric</t>
  </si>
  <si>
    <t>Show for NYC Overlay and New Construction, Show for NYC Overlay and Rehab, Option 3, Show if new construction and project has no combustion equipment or rehab Option 2</t>
  </si>
  <si>
    <t>Show for NYC Overlay and Rehab, Option 3</t>
  </si>
  <si>
    <t>Product data for all space heating and cooling equipment.</t>
  </si>
  <si>
    <t>Show if 5.6, NYC Overlay option used</t>
  </si>
  <si>
    <t>Provide Shelter in Place Area(s), sized per construction documents to equal 15 sf per bedroom. Wire each area to backup power. In each area, include:
- Backup power for heating, cooling lighting, outlets, and WiFi
- Operable windows
- At least one accessible bathroom with potable water source
- Refrigerator space totaling at least 0.25 cubic feet per bedroom</t>
  </si>
  <si>
    <t>Show if site includes endangered/threatened plant or animal habitat</t>
  </si>
  <si>
    <t>Per site plan and construction documents, do not extend built area into habitats for threatened or endangered plant or animal species.</t>
  </si>
  <si>
    <t>Minimize disturbance to habitats for threatened or endangered plant or animal species during construction.</t>
  </si>
  <si>
    <t>2.1 Ecological Conservation and Safer Sites (3)</t>
  </si>
  <si>
    <t>Construction materials (including decks, porches, concrete slabs, garages, storage structures, chimneys, tanks, as applicable) meet standards in ASCE 24-24 and ASCE 7-22 Supplement 2.</t>
  </si>
  <si>
    <t>Barriers (including windows, doors, impermeable panels, flood shields, as applicable) meet dry floodproofing standards in ASCE 24-24 and ASCE 7-22 Supplement 2.</t>
  </si>
  <si>
    <t>Lowest floor of all buildings is elevated to at least Design Flood Elevation (DFE) + freeboard elevation, as required by ASCE 24-24 and ASCE 7-22 Supplement 2 for the occupancy category.</t>
  </si>
  <si>
    <t>Install dry floodproofing only where allowed by ASCE 24-24 and ASCE 7-22 Supplement 2.</t>
  </si>
  <si>
    <t>Utility systems and equipment are located and installed per ASCE 24-24 and ASCE 7-22 Supplement 2.</t>
  </si>
  <si>
    <t>Hide for NYC Overlay, Show if 4.7 selected for points</t>
  </si>
  <si>
    <t>Hide for NYC Overlay, Show if 4.7 - option 2 is used</t>
  </si>
  <si>
    <t>Hide for NYC Overlay, Show if 4.7 - option 1 is selected</t>
  </si>
  <si>
    <t>Hide for NYC Overlay, Show if 4.7 - option 3 is used</t>
  </si>
  <si>
    <t>All products meet requirements of the New York City Prescriptive Pathway for Tenant in Place Rehabs.</t>
  </si>
  <si>
    <t>Show if rehab, existing system(s) only, Hide if using 5.3, Option 2, Hide if using rehab NYC Overlay Tenant in Place Option</t>
  </si>
  <si>
    <t>Show if rehab, mix of new and old systems, hide if using 5.3 Option 2, Hide if using rehab NYC Overlay Tenant in Place Option</t>
  </si>
  <si>
    <t>Show if rehab, only new systems, hide if using 5.3 Option 2, Hide if using rehab NYC Overlay Tenant in Place Option</t>
  </si>
  <si>
    <t>Show if rehab, new systems or mix of old and new, hide if using 5.3 Option 2, Hide if using rehab NYC Overlay Tenant in Place Option</t>
  </si>
  <si>
    <t>Show if substantial rehab or if moderate rehab using only 0.4 target or combination of targets, hide if using 5.3 Option 2, Hide if using rehab NYC Overlay Tenant in Place Option</t>
  </si>
  <si>
    <t>Show if moderate rehab or substantial with historic designation if using pre/post option or a combination, hide if using 5.3 Option 2, Hide if using rehab NYC Overlay Tenant in Place Option</t>
  </si>
  <si>
    <t>Show if rehab includes insulation, hide if using 5.3 Option 2, Hide if using rehab NYC Overlay Tenant in Place Option</t>
  </si>
  <si>
    <t>Show if rehab, hide if using 5.3 Option 2, Hide if using rehab NYC Overlay Tenant in Place Option</t>
  </si>
  <si>
    <t>Install energy efficiency measures in accordance with requirements of the New York City Prescriptive Pathway for Tenant in Place Rehabs.</t>
  </si>
  <si>
    <t>Space heating and cooling equipment are electric.</t>
  </si>
  <si>
    <t>NYC Option 1: Install at least two L2 EVSE</t>
  </si>
  <si>
    <t>NYC Option 2: Capable/Ready for 20% of spaces</t>
  </si>
  <si>
    <t>Install at least two Level 2 EVSE.</t>
  </si>
  <si>
    <t>Provide Level 2 EV-capable or EV-ready spaces in more than 20% of the total number of spaces on the site.</t>
  </si>
  <si>
    <t>Show for NYC Overlay Option 1.</t>
  </si>
  <si>
    <t>Show for NYC Overlay Option 2.</t>
  </si>
  <si>
    <t>Show if new construction and substantial rehab with parking. Hide if using optional points for projects with 40+ parking spaces/5% EVSE. Hide if using either NYC Overlay option.</t>
  </si>
  <si>
    <t>Show if New Construction/Substantial rehab with at least 20 parking spaces, AND not using 5.8 for optional points. Hide if using either NYC Overlay option.</t>
  </si>
  <si>
    <t>Show if new construction and using transformer exception. Hide if using either NYC Overlay option.</t>
  </si>
  <si>
    <t>Show if susbstantial rehab and using service upgrade exception. Hide if using either NYC Overlay option.</t>
  </si>
  <si>
    <t>Show for Optional points L2 EVSE. Hide if using either NYC Overlay option.</t>
  </si>
  <si>
    <t>Show for optioinal points 50% capable/ready. Hide if using either NYC Overlay option.</t>
  </si>
  <si>
    <t>Show for NYC Overlay</t>
  </si>
  <si>
    <t>Provide dedicated organics (compost) collection in all waste storage areas, with containers sized and configured to meet DSNY organics-storage requirements.</t>
  </si>
  <si>
    <t>Show if multifamily, not owner-occupied. Hide for NYC Overlay Options 5 or 6.</t>
  </si>
  <si>
    <t>Option 5: HPD Benchmarking Protocol</t>
  </si>
  <si>
    <t>Option 6: HPD Enhanced Project Monitoring</t>
  </si>
  <si>
    <t>Primary Dropdown Menus</t>
  </si>
  <si>
    <t>Additional NYC Overlay Dropdowns</t>
  </si>
  <si>
    <t>In-unit gas or propane equipment is installed for dwelling unit water heating.</t>
  </si>
  <si>
    <t>In-unit gas or propane equipment is installed for BOTH dwelling unit space and water heating.</t>
  </si>
  <si>
    <t>Option 1: Hot-water thermal storage and control</t>
  </si>
  <si>
    <t>Grant Enterprise view access to HPD benchmarking data.</t>
  </si>
  <si>
    <t>Participate in HPD's enhanced project monitoring and evaluation.</t>
  </si>
  <si>
    <t>Show for NYC Overlay Option 5</t>
  </si>
  <si>
    <t>Show for NYC Overlay Option 6</t>
  </si>
  <si>
    <t xml:space="preserve">3. Print the document (or export to PDF) from this tab, set to 100% zoom. Page break layout is set automatically. </t>
  </si>
  <si>
    <t>Show for 3.9 Option 2: Roof-mounted Equipment - Ground-mount HVAC</t>
  </si>
  <si>
    <t>Show for 3.9 Option 2: Roof-mounted Equipment - Ground-mount PV</t>
  </si>
  <si>
    <t>Show for 3.9 Option 2: Roof-mounted Equipment - Ground-mount deck</t>
  </si>
  <si>
    <t>Show for 3.10 Option 2: Wall Assembly - Borate treatment</t>
  </si>
  <si>
    <t>Show for 3.10 Option 2: Wall Assembly - Solid wall sheating</t>
  </si>
  <si>
    <t>Show for 3.10 Option 2: Utilities and Mechanical equipment - elevate HVAC</t>
  </si>
  <si>
    <t>Show if testing performed</t>
  </si>
  <si>
    <t>- One common space (if present)</t>
  </si>
  <si>
    <t>- Expected network termination point in each dwelling unit and each common space (if present)</t>
  </si>
  <si>
    <t>Show for: New construction + gas water + not tankless; Rehab + option 1 + gas water + not tankless.</t>
  </si>
  <si>
    <t>Documentation including product data, schematics, and schedules for greywater sources, end uses, piping, backflow preventers, storage tank(s), and cross connection prevention measures.</t>
  </si>
  <si>
    <t>Show if 4.7 Option 1 is used</t>
  </si>
  <si>
    <t>Documentation indicating potable water source and location, ADA accessibility, and elevation.</t>
  </si>
  <si>
    <t xml:space="preserve">Documentation indicating on-site potable water storage tank capacity, location, ADA accessibility, elevation, and manufacturer maintenance instructions. </t>
  </si>
  <si>
    <t>Product data for on-site well pumping equipment including power source (if required for pump operation) and identification of water access points during power outages.</t>
  </si>
  <si>
    <t>Product data for all space heating, water heating, and clothes dryer equipment.</t>
  </si>
  <si>
    <t>Photo documentation of floor drain near the 3x3 foot space.</t>
  </si>
  <si>
    <t>Documentation of transferring/islanding controls to enable backup power during grid outages and critical loads served.</t>
  </si>
  <si>
    <t>Show if 5.6 Option 1, 2 or 3</t>
  </si>
  <si>
    <t>Product data for backup generator(s) and fuel storage equipment.</t>
  </si>
  <si>
    <t>Product data for installed PV, including expected system capacity and area of installed array.</t>
  </si>
  <si>
    <t>Show if 5.7 Option 1, Strategy C</t>
  </si>
  <si>
    <t>Geothermal system data including system capacity.</t>
  </si>
  <si>
    <t>Documentation showing locations of all installed EVSE, EV-capable, and EV-ready spaces and associated circuits.</t>
  </si>
  <si>
    <t>Product data for Automatic Load Management System (ALMS), if used, including delivered capacity and programming information.</t>
  </si>
  <si>
    <t>Product data, locations, and installed photos of shading equipment installed in south-facing windows, if present.</t>
  </si>
  <si>
    <t>Colorless, odorless, and tasteless gas that can greatly affect indoor environmental health. According to the EPA, radon exposure is the second leading cause of lung cancer in the US</t>
  </si>
  <si>
    <t xml:space="preserve">Submit one of the following ,or other documentation as indicated by project team, to show compliance with Section 5.2 of ANSI/ASHRAE Standard 62.1-2022:
1) TAB report or field measurements documenting pressure differential between attached parking garages and immediately adjacent occupiable spaces.
2) As-built plans and/or installed photographs showing a vestibule that provides an airlock between the garage and occupiable space.
3) Documentation that the project limits migration of air from the attached parking garage into the adjacent occupiable spaces of the building in a manner acceptable to the authority having jurisdiction (AHJ). </t>
  </si>
  <si>
    <t>Materials used in deck and balcony construction are noncombustible (e.g., tile, metal, concrete).</t>
  </si>
  <si>
    <t>Flush all dwelling units after completion of construction and prior to occupancy, using one of the following methods: 
1) for at least 48 hours (may be nonconsecutive) with all windows and interior doors open and all HVAC fans running
2) with at least 14,000 cubic feet/sf of floor area. 
For either method, replace all air-handling equipment filters after flushing.</t>
  </si>
  <si>
    <t>Green Communities  Criteria and Spec Matrix</t>
  </si>
  <si>
    <t>Use this tab to customize and print the specifications for your project:</t>
  </si>
  <si>
    <t>Select applicable project information in the column labeled "Select Sub-Criteria from Dropdown" (Column F). Cells highlighted in red require inputs and cells highlighted in gray do not. As some inputs are entered, subsequent filters may be switched from "Show" to "Hide". Anything marked "Hide" does not require an input. Users can refresh the filters as they fill out the form by going to the Data tab in the ribbon, and selecting "Reapply." For more information on all options, see the EGC 2026 Criteria Manual.</t>
  </si>
  <si>
    <t>Enterprise Green Communities</t>
  </si>
  <si>
    <t>Enterprise Green Communities is the only national green building program developed with —and for —the affordable housing sector. The standard represents 20 years of research, industry insights, and practitioner experience. The 2026 Green Communities Criteria builds on this legacy, providing a rigorous yet flexible framework for creating and preserving high-quality affordable homes that prioritize health, resilience, and energy efficiency.</t>
  </si>
  <si>
    <t>About Enterprise</t>
  </si>
  <si>
    <t>Enterprise is a national nonprofit that exists to make a good home possible for the millions of families without one. We support community development organizations on the ground, aggregate and invest capital for impact, advance housing policy at every level of government, and build and manage communities ourselves. Since 1982, we have invested $92 billion and created 1.1 million homes across all 50 states, the District of Columbia, Puerto Rico and the U.S. Virgin Islands – all to make home and community places of pride, power and belonging. Join us at enterprisecommunity.org.</t>
  </si>
  <si>
    <t>Acknowlegements</t>
  </si>
  <si>
    <t>Copyright © 2026 Enterprise Community Partners, Inc. All rights reserved.</t>
  </si>
  <si>
    <t>Conduct a pre-construction test for radon by a radon professional in accordance with ANSI-AARST MAH-2023. If test results exceed 4 pCi/L (picocuries per liter), install radon-reduction measures outlined in ANSI-AARST SGM-SF-2023.</t>
  </si>
  <si>
    <t>1.0</t>
  </si>
  <si>
    <t>6.24.26</t>
  </si>
  <si>
    <t>First release</t>
  </si>
  <si>
    <r>
      <rPr>
        <b/>
        <sz val="14"/>
        <color theme="1"/>
        <rFont val="Calibri"/>
        <family val="2"/>
        <scheme val="minor"/>
      </rPr>
      <t xml:space="preserve">Welcome to the Specifications Tool for the 2026 Enterprise Green Communities Criteria! </t>
    </r>
    <r>
      <rPr>
        <sz val="14"/>
        <color theme="1"/>
        <rFont val="Calibri"/>
        <family val="2"/>
        <scheme val="minor"/>
      </rPr>
      <t>This tool may be used as a standalone resource to generate customized project specifications based on project parameters, or be used to help customize the Specifications Template (.docx). To ensure accurate use of this tool, reference the Criteria Manual to understand the number of points available for each Criterion and details regarding their application. The tabs in this workbook are locked by default to help maintain the tool's integrity, but can be unlocked without a password by users wishing to make changes to suit their needs.</t>
    </r>
    <r>
      <rPr>
        <sz val="14"/>
        <color rgb="FFFF0000"/>
        <rFont val="Calibri"/>
        <family val="2"/>
        <scheme val="minor"/>
      </rPr>
      <t xml:space="preserve"> </t>
    </r>
    <r>
      <rPr>
        <sz val="14"/>
        <color theme="1"/>
        <rFont val="Calibri"/>
        <family val="2"/>
        <scheme val="minor"/>
      </rPr>
      <t xml:space="preserve"> </t>
    </r>
  </si>
  <si>
    <r>
      <rPr>
        <sz val="14"/>
        <color theme="1"/>
        <rFont val="Calibri"/>
        <family val="2"/>
        <scheme val="minor"/>
      </rPr>
      <t xml:space="preserve">Watch a video tutorial for the Specifications Tool online at: </t>
    </r>
    <r>
      <rPr>
        <u/>
        <sz val="14"/>
        <color theme="7"/>
        <rFont val="Calibri"/>
        <family val="2"/>
        <scheme val="minor"/>
      </rPr>
      <t>https://www.greencommunitiesonline.org/webinars-and-trainings</t>
    </r>
  </si>
  <si>
    <t>These model green building specifications have been developed for informational purposes only to support the preparation of project-specific construction documents. They are intended as examples only and do not constitute professional, engineering, architectural, legal, or regulatory advice. Further, the Submittal provisions in this resource do not represent the project submittals required for certification under the 2026 Enterprise Green Communities Criteria. Refer to Green Communities program documents for a list of submittals required for certification. Project teams may elect to include or remove suggested submittals in these specifications based on contractors’ experience with different systems and technologies. Green Communities urges project teams to require photo documentation for any systems which are critical to the project’s overall performance and/or unfamiliar to the construction team. 
The specifications are not a substitute for the independent judgment of qualified design, construction, legal, or procurement professionals. Users are solely responsible for reviewing, modifying, and adapting the specifications to address project-specific conditions, applicable laws, regulations, codes, standards, procurement requirements, and owner objectives.
Enterprise makes no representations or warranties regarding the accuracy, completeness, suitability, or fitness of the specifications for any particular purpose and assumes no responsibility or liability for any outcomes resulting from their use. Reference to any product, technology, manufacturer, certification, or standard does not constitute an endorsement. Use of these model specifications is entirely at the user's own risk.</t>
  </si>
  <si>
    <t>Enterprise Green Communities thanks Newport Partners for their insights and assistance producing the 2026 Criteria Specifications tools.
Special thanks to the following partners who provided input to help develop this tool:
Catalyst Partners
Association for Energy Affordability
Sol Design and Consulting
Eco Achievers</t>
  </si>
  <si>
    <r>
      <t xml:space="preserve">If you have any questions or suggestions regarding this document, please contact us at </t>
    </r>
    <r>
      <rPr>
        <u/>
        <sz val="12"/>
        <color theme="7"/>
        <rFont val="Calibri"/>
        <family val="2"/>
        <scheme val="minor"/>
      </rPr>
      <t>certification@enterprisecommunity.org</t>
    </r>
    <r>
      <rPr>
        <sz val="12"/>
        <color theme="1"/>
        <rFont val="Calibri"/>
        <family val="2"/>
        <scheme val="minor"/>
      </rPr>
      <t>.</t>
    </r>
  </si>
  <si>
    <r>
      <rPr>
        <b/>
        <sz val="14"/>
        <color theme="1"/>
        <rFont val="Calibri"/>
        <family val="2"/>
        <scheme val="minor"/>
      </rPr>
      <t>Use this tab to identify which specifications will be relevant to your project. Tips for using this tab:</t>
    </r>
    <r>
      <rPr>
        <sz val="14"/>
        <color theme="1"/>
        <rFont val="Calibri"/>
        <family val="2"/>
        <scheme val="minor"/>
      </rPr>
      <t xml:space="preserve">
1. Review the instructions on the "Introduction" tab.
2. Fill out the Project Information section, and then use the filter column (Column C) to hide any rows labeled "Hide." All rows are automatically set to "Show" unless inputs are entered that trigger them to toggle to "Hide".
3. Fill out remaining inputs under "Project Information (select from dropdowns" (Column E).
4. As inputs are selected, some filters may switch from "Show" to "Hide."  To re-apply filters as new inputs are selected, go to the Data tab and click the "Reapply" option within the Sort &amp; Filter group.</t>
    </r>
  </si>
  <si>
    <r>
      <t xml:space="preserve">Project Information 
</t>
    </r>
    <r>
      <rPr>
        <sz val="14"/>
        <color theme="1"/>
        <rFont val="Calibri"/>
        <family val="2"/>
        <scheme val="minor"/>
      </rPr>
      <t>(select from dropdowns)</t>
    </r>
  </si>
  <si>
    <r>
      <rPr>
        <b/>
        <sz val="14"/>
        <color theme="1"/>
        <rFont val="Calibri"/>
        <family val="2"/>
        <scheme val="minor"/>
      </rPr>
      <t>1.1</t>
    </r>
    <r>
      <rPr>
        <sz val="14"/>
        <color theme="1"/>
        <rFont val="Calibri"/>
        <family val="2"/>
        <scheme val="minor"/>
      </rPr>
      <t xml:space="preserve"> Project Priorities Survey</t>
    </r>
  </si>
  <si>
    <r>
      <rPr>
        <b/>
        <sz val="14"/>
        <color theme="1"/>
        <rFont val="Calibri"/>
        <family val="2"/>
        <scheme val="minor"/>
      </rPr>
      <t>1.2</t>
    </r>
    <r>
      <rPr>
        <sz val="14"/>
        <color theme="1"/>
        <rFont val="Calibri"/>
        <family val="2"/>
        <scheme val="minor"/>
      </rPr>
      <t xml:space="preserve"> Charrettes and Coordination Meetings</t>
    </r>
  </si>
  <si>
    <r>
      <rPr>
        <b/>
        <sz val="14"/>
        <color theme="1"/>
        <rFont val="Calibri"/>
        <family val="2"/>
        <scheme val="minor"/>
      </rPr>
      <t xml:space="preserve">1.3 </t>
    </r>
    <r>
      <rPr>
        <sz val="14"/>
        <color theme="1"/>
        <rFont val="Calibri"/>
        <family val="2"/>
        <scheme val="minor"/>
      </rPr>
      <t>Integrative Design Documentation</t>
    </r>
  </si>
  <si>
    <r>
      <rPr>
        <b/>
        <sz val="14"/>
        <color theme="1"/>
        <rFont val="Calibri"/>
        <family val="2"/>
        <scheme val="minor"/>
      </rPr>
      <t xml:space="preserve">1.4 </t>
    </r>
    <r>
      <rPr>
        <sz val="14"/>
        <color theme="1"/>
        <rFont val="Calibri"/>
        <family val="2"/>
        <scheme val="minor"/>
      </rPr>
      <t>Construction Management</t>
    </r>
  </si>
  <si>
    <r>
      <rPr>
        <b/>
        <sz val="14"/>
        <color theme="1"/>
        <rFont val="Calibri"/>
        <family val="2"/>
        <scheme val="minor"/>
      </rPr>
      <t xml:space="preserve">1.5 </t>
    </r>
    <r>
      <rPr>
        <sz val="14"/>
        <color theme="1"/>
        <rFont val="Calibri"/>
        <family val="2"/>
        <scheme val="minor"/>
      </rPr>
      <t>Adaptive Planning for Resilient Communities</t>
    </r>
  </si>
  <si>
    <r>
      <rPr>
        <b/>
        <sz val="14"/>
        <color theme="1"/>
        <rFont val="Calibri"/>
        <family val="2"/>
        <scheme val="minor"/>
      </rPr>
      <t>1.6</t>
    </r>
    <r>
      <rPr>
        <sz val="14"/>
        <color theme="1"/>
        <rFont val="Calibri"/>
        <family val="2"/>
        <scheme val="minor"/>
      </rPr>
      <t xml:space="preserve"> Design for Health and Well-Being: Health Action Plan</t>
    </r>
  </si>
  <si>
    <r>
      <rPr>
        <b/>
        <sz val="14"/>
        <color theme="1"/>
        <rFont val="Calibri"/>
        <family val="2"/>
        <scheme val="minor"/>
      </rPr>
      <t>1.7</t>
    </r>
    <r>
      <rPr>
        <sz val="14"/>
        <color theme="1"/>
        <rFont val="Calibri"/>
        <family val="2"/>
        <scheme val="minor"/>
      </rPr>
      <t xml:space="preserve"> Inclusive Community Engagement</t>
    </r>
  </si>
  <si>
    <r>
      <rPr>
        <b/>
        <sz val="14"/>
        <color theme="1"/>
        <rFont val="Calibri"/>
        <family val="2"/>
        <scheme val="minor"/>
      </rPr>
      <t>2.1</t>
    </r>
    <r>
      <rPr>
        <sz val="14"/>
        <color theme="1"/>
        <rFont val="Calibri"/>
        <family val="2"/>
        <scheme val="minor"/>
      </rPr>
      <t xml:space="preserve"> Ecological Conservation and Safer Sites (1)</t>
    </r>
  </si>
  <si>
    <r>
      <rPr>
        <b/>
        <sz val="14"/>
        <color theme="1"/>
        <rFont val="Calibri"/>
        <family val="2"/>
        <scheme val="minor"/>
      </rPr>
      <t>2.1</t>
    </r>
    <r>
      <rPr>
        <sz val="14"/>
        <color theme="1"/>
        <rFont val="Calibri"/>
        <family val="2"/>
        <scheme val="minor"/>
      </rPr>
      <t xml:space="preserve"> Ecological Conservation and Safer Sites (2)</t>
    </r>
  </si>
  <si>
    <r>
      <rPr>
        <b/>
        <sz val="14"/>
        <color theme="1"/>
        <rFont val="Calibri"/>
        <family val="2"/>
        <scheme val="minor"/>
      </rPr>
      <t xml:space="preserve">2.1 </t>
    </r>
    <r>
      <rPr>
        <sz val="14"/>
        <color theme="1"/>
        <rFont val="Calibri"/>
        <family val="2"/>
        <scheme val="minor"/>
      </rPr>
      <t>Ecological Conservation and Safer Sites (3)</t>
    </r>
  </si>
  <si>
    <r>
      <rPr>
        <b/>
        <sz val="14"/>
        <color theme="1"/>
        <rFont val="Calibri"/>
        <family val="2"/>
        <scheme val="minor"/>
      </rPr>
      <t>2.2</t>
    </r>
    <r>
      <rPr>
        <sz val="14"/>
        <color theme="1"/>
        <rFont val="Calibri"/>
        <family val="2"/>
        <scheme val="minor"/>
      </rPr>
      <t xml:space="preserve"> Connections to Existing Development and Infrastructure</t>
    </r>
  </si>
  <si>
    <r>
      <rPr>
        <b/>
        <sz val="14"/>
        <color theme="1"/>
        <rFont val="Calibri"/>
        <family val="2"/>
        <scheme val="minor"/>
      </rPr>
      <t xml:space="preserve">2.3 </t>
    </r>
    <r>
      <rPr>
        <sz val="14"/>
        <color theme="1"/>
        <rFont val="Calibri"/>
        <family val="2"/>
        <scheme val="minor"/>
      </rPr>
      <t>Compact Development</t>
    </r>
  </si>
  <si>
    <r>
      <rPr>
        <b/>
        <sz val="14"/>
        <color theme="1"/>
        <rFont val="Calibri"/>
        <family val="2"/>
        <scheme val="minor"/>
      </rPr>
      <t>2.4</t>
    </r>
    <r>
      <rPr>
        <sz val="14"/>
        <color theme="1"/>
        <rFont val="Calibri"/>
        <family val="2"/>
        <scheme val="minor"/>
      </rPr>
      <t xml:space="preserve"> Proximity to Services and Community Resources</t>
    </r>
  </si>
  <si>
    <r>
      <rPr>
        <b/>
        <sz val="14"/>
        <color theme="1"/>
        <rFont val="Calibri"/>
        <family val="2"/>
        <scheme val="minor"/>
      </rPr>
      <t>2.5</t>
    </r>
    <r>
      <rPr>
        <sz val="14"/>
        <color theme="1"/>
        <rFont val="Calibri"/>
        <family val="2"/>
        <scheme val="minor"/>
      </rPr>
      <t xml:space="preserve"> Access to Open Space</t>
    </r>
  </si>
  <si>
    <r>
      <rPr>
        <b/>
        <sz val="14"/>
        <color theme="1"/>
        <rFont val="Calibri"/>
        <family val="2"/>
        <scheme val="minor"/>
      </rPr>
      <t>2.6</t>
    </r>
    <r>
      <rPr>
        <sz val="14"/>
        <color theme="1"/>
        <rFont val="Calibri"/>
        <family val="2"/>
        <scheme val="minor"/>
      </rPr>
      <t xml:space="preserve"> Transit, Mobility, and Walkability</t>
    </r>
  </si>
  <si>
    <r>
      <rPr>
        <b/>
        <sz val="14"/>
        <color theme="1"/>
        <rFont val="Calibri"/>
        <family val="2"/>
        <scheme val="minor"/>
      </rPr>
      <t>2.6</t>
    </r>
    <r>
      <rPr>
        <sz val="14"/>
        <color theme="1"/>
        <rFont val="Calibri"/>
        <family val="2"/>
        <scheme val="minor"/>
      </rPr>
      <t xml:space="preserve"> Shared Mobility Initiatives - vehicle-share/vanpool parking.</t>
    </r>
  </si>
  <si>
    <r>
      <rPr>
        <b/>
        <sz val="14"/>
        <color theme="1"/>
        <rFont val="Calibri"/>
        <family val="2"/>
        <scheme val="minor"/>
      </rPr>
      <t>2.6</t>
    </r>
    <r>
      <rPr>
        <sz val="14"/>
        <color theme="1"/>
        <rFont val="Calibri"/>
        <family val="2"/>
        <scheme val="minor"/>
      </rPr>
      <t xml:space="preserve"> Increased Bikeability - Short-term storage</t>
    </r>
  </si>
  <si>
    <r>
      <rPr>
        <b/>
        <sz val="14"/>
        <color theme="1"/>
        <rFont val="Calibri"/>
        <family val="2"/>
        <scheme val="minor"/>
      </rPr>
      <t xml:space="preserve">2.6 </t>
    </r>
    <r>
      <rPr>
        <sz val="14"/>
        <color theme="1"/>
        <rFont val="Calibri"/>
        <family val="2"/>
        <scheme val="minor"/>
      </rPr>
      <t>Increased Bikeability - Long-term storage</t>
    </r>
  </si>
  <si>
    <r>
      <rPr>
        <b/>
        <sz val="14"/>
        <color theme="1"/>
        <rFont val="Calibri"/>
        <family val="2"/>
        <scheme val="minor"/>
      </rPr>
      <t>2.6</t>
    </r>
    <r>
      <rPr>
        <sz val="14"/>
        <color theme="1"/>
        <rFont val="Calibri"/>
        <family val="2"/>
        <scheme val="minor"/>
      </rPr>
      <t xml:space="preserve"> Increased Walkability - Public wayfinding signage</t>
    </r>
  </si>
  <si>
    <r>
      <rPr>
        <b/>
        <sz val="14"/>
        <color theme="1"/>
        <rFont val="Calibri"/>
        <family val="2"/>
        <scheme val="minor"/>
      </rPr>
      <t>2.6</t>
    </r>
    <r>
      <rPr>
        <sz val="14"/>
        <color theme="1"/>
        <rFont val="Calibri"/>
        <family val="2"/>
        <scheme val="minor"/>
      </rPr>
      <t xml:space="preserve"> Increased Walkability - Two site-improvement features</t>
    </r>
  </si>
  <si>
    <r>
      <rPr>
        <b/>
        <sz val="14"/>
        <color theme="1"/>
        <rFont val="Calibri"/>
        <family val="2"/>
        <scheme val="minor"/>
      </rPr>
      <t>2.6</t>
    </r>
    <r>
      <rPr>
        <sz val="14"/>
        <color theme="1"/>
        <rFont val="Calibri"/>
        <family val="2"/>
        <scheme val="minor"/>
      </rPr>
      <t xml:space="preserve"> Increased Walkability - Two pedestrian comfort features</t>
    </r>
  </si>
  <si>
    <r>
      <rPr>
        <b/>
        <sz val="14"/>
        <color theme="1"/>
        <rFont val="Calibri"/>
        <family val="2"/>
        <scheme val="minor"/>
      </rPr>
      <t>2.7</t>
    </r>
    <r>
      <rPr>
        <sz val="14"/>
        <color theme="1"/>
        <rFont val="Calibri"/>
        <family val="2"/>
        <scheme val="minor"/>
      </rPr>
      <t xml:space="preserve"> Access to Fresh, Local Foods</t>
    </r>
  </si>
  <si>
    <r>
      <rPr>
        <b/>
        <sz val="14"/>
        <color theme="1"/>
        <rFont val="Calibri"/>
        <family val="2"/>
        <scheme val="minor"/>
      </rPr>
      <t>2.8</t>
    </r>
    <r>
      <rPr>
        <sz val="14"/>
        <color theme="1"/>
        <rFont val="Calibri"/>
        <family val="2"/>
        <scheme val="minor"/>
      </rPr>
      <t xml:space="preserve"> Community Space and Programs</t>
    </r>
  </si>
  <si>
    <r>
      <rPr>
        <b/>
        <sz val="14"/>
        <color theme="1"/>
        <rFont val="Calibri"/>
        <family val="2"/>
        <scheme val="minor"/>
      </rPr>
      <t xml:space="preserve">2.9 </t>
    </r>
    <r>
      <rPr>
        <sz val="14"/>
        <color theme="1"/>
        <rFont val="Calibri"/>
        <family val="2"/>
        <scheme val="minor"/>
      </rPr>
      <t>Access to Broadband (1)</t>
    </r>
  </si>
  <si>
    <r>
      <rPr>
        <b/>
        <sz val="14"/>
        <color theme="1"/>
        <rFont val="Calibri"/>
        <family val="2"/>
        <scheme val="minor"/>
      </rPr>
      <t>2.9</t>
    </r>
    <r>
      <rPr>
        <sz val="14"/>
        <color theme="1"/>
        <rFont val="Calibri"/>
        <family val="2"/>
        <scheme val="minor"/>
      </rPr>
      <t xml:space="preserve"> Access to Broadband (2)</t>
    </r>
  </si>
  <si>
    <r>
      <rPr>
        <b/>
        <sz val="14"/>
        <color theme="1"/>
        <rFont val="Calibri"/>
        <family val="2"/>
        <scheme val="minor"/>
      </rPr>
      <t xml:space="preserve">2.10 </t>
    </r>
    <r>
      <rPr>
        <sz val="14"/>
        <color theme="1"/>
        <rFont val="Calibri"/>
        <family val="2"/>
        <scheme val="minor"/>
      </rPr>
      <t>Adaptive Reuse of Buildings</t>
    </r>
  </si>
  <si>
    <r>
      <rPr>
        <b/>
        <sz val="14"/>
        <color theme="1"/>
        <rFont val="Calibri"/>
        <family val="2"/>
        <scheme val="minor"/>
      </rPr>
      <t>3.1</t>
    </r>
    <r>
      <rPr>
        <sz val="14"/>
        <color theme="1"/>
        <rFont val="Calibri"/>
        <family val="2"/>
        <scheme val="minor"/>
      </rPr>
      <t xml:space="preserve"> Minimization of Disturbance During Staging and Construction</t>
    </r>
  </si>
  <si>
    <r>
      <rPr>
        <b/>
        <sz val="14"/>
        <color theme="1"/>
        <rFont val="Calibri"/>
        <family val="2"/>
        <scheme val="minor"/>
      </rPr>
      <t>3.2</t>
    </r>
    <r>
      <rPr>
        <sz val="14"/>
        <color theme="1"/>
        <rFont val="Calibri"/>
        <family val="2"/>
        <scheme val="minor"/>
      </rPr>
      <t xml:space="preserve"> Site Design for Ecosystem Services</t>
    </r>
  </si>
  <si>
    <r>
      <rPr>
        <b/>
        <sz val="14"/>
        <color theme="1"/>
        <rFont val="Calibri"/>
        <family val="2"/>
        <scheme val="minor"/>
      </rPr>
      <t xml:space="preserve">3.3 </t>
    </r>
    <r>
      <rPr>
        <sz val="14"/>
        <color theme="1"/>
        <rFont val="Calibri"/>
        <family val="2"/>
        <scheme val="minor"/>
      </rPr>
      <t>Exterior Lighting (1)</t>
    </r>
  </si>
  <si>
    <r>
      <rPr>
        <b/>
        <sz val="14"/>
        <color theme="1"/>
        <rFont val="Calibri"/>
        <family val="2"/>
        <scheme val="minor"/>
      </rPr>
      <t>3.3</t>
    </r>
    <r>
      <rPr>
        <sz val="14"/>
        <color theme="1"/>
        <rFont val="Calibri"/>
        <family val="2"/>
        <scheme val="minor"/>
      </rPr>
      <t xml:space="preserve"> Exterior Lighting (2)</t>
    </r>
  </si>
  <si>
    <r>
      <rPr>
        <b/>
        <sz val="14"/>
        <color theme="1"/>
        <rFont val="Calibri"/>
        <family val="2"/>
        <scheme val="minor"/>
      </rPr>
      <t xml:space="preserve">3.4 </t>
    </r>
    <r>
      <rPr>
        <sz val="14"/>
        <color theme="1"/>
        <rFont val="Calibri"/>
        <family val="2"/>
        <scheme val="minor"/>
      </rPr>
      <t>Surface Stormwater Management</t>
    </r>
  </si>
  <si>
    <r>
      <rPr>
        <b/>
        <sz val="14"/>
        <color theme="1"/>
        <rFont val="Calibri"/>
        <family val="2"/>
        <scheme val="minor"/>
      </rPr>
      <t>3.5</t>
    </r>
    <r>
      <rPr>
        <sz val="14"/>
        <color theme="1"/>
        <rFont val="Calibri"/>
        <family val="2"/>
        <scheme val="minor"/>
      </rPr>
      <t xml:space="preserve"> Outdoor Water Use: Efficient Irrigation</t>
    </r>
  </si>
  <si>
    <r>
      <rPr>
        <b/>
        <sz val="14"/>
        <color theme="1"/>
        <rFont val="Calibri"/>
        <family val="2"/>
        <scheme val="minor"/>
      </rPr>
      <t>3.6</t>
    </r>
    <r>
      <rPr>
        <sz val="14"/>
        <color theme="1"/>
        <rFont val="Calibri"/>
        <family val="2"/>
        <scheme val="minor"/>
      </rPr>
      <t xml:space="preserve"> Outdoor Water Use: Alternative Sources</t>
    </r>
  </si>
  <si>
    <r>
      <t xml:space="preserve">3.7 Traffic Safety and Mobility </t>
    </r>
    <r>
      <rPr>
        <sz val="14"/>
        <color theme="1"/>
        <rFont val="Calibri"/>
        <family val="2"/>
        <scheme val="minor"/>
      </rPr>
      <t>(New construction and substantial rehabs must select at least one option, if applicable)</t>
    </r>
  </si>
  <si>
    <r>
      <rPr>
        <b/>
        <sz val="14"/>
        <color theme="1"/>
        <rFont val="Calibri"/>
        <family val="2"/>
        <scheme val="minor"/>
      </rPr>
      <t>3.7</t>
    </r>
    <r>
      <rPr>
        <sz val="14"/>
        <color theme="1"/>
        <rFont val="Calibri"/>
        <family val="2"/>
        <scheme val="minor"/>
      </rPr>
      <t xml:space="preserve"> Traffic Safety and Mobility: Pick-up/Drop-off</t>
    </r>
  </si>
  <si>
    <r>
      <rPr>
        <b/>
        <sz val="14"/>
        <color theme="1"/>
        <rFont val="Calibri"/>
        <family val="2"/>
        <scheme val="minor"/>
      </rPr>
      <t>3.7</t>
    </r>
    <r>
      <rPr>
        <sz val="14"/>
        <color theme="1"/>
        <rFont val="Calibri"/>
        <family val="2"/>
        <scheme val="minor"/>
      </rPr>
      <t xml:space="preserve"> Traffic Safety and Mobility: Curbless Street</t>
    </r>
  </si>
  <si>
    <r>
      <rPr>
        <b/>
        <sz val="14"/>
        <color theme="1"/>
        <rFont val="Calibri"/>
        <family val="2"/>
        <scheme val="minor"/>
      </rPr>
      <t>3.7</t>
    </r>
    <r>
      <rPr>
        <sz val="14"/>
        <color theme="1"/>
        <rFont val="Calibri"/>
        <family val="2"/>
        <scheme val="minor"/>
      </rPr>
      <t xml:space="preserve"> Traffic Safety and Mobility: Crossed Paths</t>
    </r>
  </si>
  <si>
    <r>
      <rPr>
        <b/>
        <sz val="14"/>
        <color theme="1"/>
        <rFont val="Calibri"/>
        <family val="2"/>
        <scheme val="minor"/>
      </rPr>
      <t>3.7</t>
    </r>
    <r>
      <rPr>
        <sz val="14"/>
        <color theme="1"/>
        <rFont val="Calibri"/>
        <family val="2"/>
        <scheme val="minor"/>
      </rPr>
      <t xml:space="preserve"> Traffic Safety and Mobility: Roadway</t>
    </r>
  </si>
  <si>
    <r>
      <rPr>
        <b/>
        <sz val="14"/>
        <color theme="1"/>
        <rFont val="Calibri"/>
        <family val="2"/>
        <scheme val="minor"/>
      </rPr>
      <t>3.7</t>
    </r>
    <r>
      <rPr>
        <sz val="14"/>
        <color theme="1"/>
        <rFont val="Calibri"/>
        <family val="2"/>
        <scheme val="minor"/>
      </rPr>
      <t xml:space="preserve"> Traffic Safety and Mobility: Roadway-adjacent Sidewalk</t>
    </r>
  </si>
  <si>
    <r>
      <rPr>
        <b/>
        <sz val="14"/>
        <color theme="1"/>
        <rFont val="Calibri"/>
        <family val="2"/>
        <scheme val="minor"/>
      </rPr>
      <t>3.7</t>
    </r>
    <r>
      <rPr>
        <sz val="14"/>
        <color theme="1"/>
        <rFont val="Calibri"/>
        <family val="2"/>
        <scheme val="minor"/>
      </rPr>
      <t xml:space="preserve"> Traffic Safety and Mobility: Hazard-adjacent Play Space</t>
    </r>
  </si>
  <si>
    <r>
      <t xml:space="preserve">3.8 Heat-Island Management </t>
    </r>
    <r>
      <rPr>
        <sz val="14"/>
        <color theme="1"/>
        <rFont val="Calibri"/>
        <family val="2"/>
        <scheme val="minor"/>
      </rPr>
      <t>(New construction and substantial rehabs must select at least one option)</t>
    </r>
  </si>
  <si>
    <r>
      <rPr>
        <b/>
        <sz val="14"/>
        <color theme="1"/>
        <rFont val="Calibri"/>
        <family val="2"/>
        <scheme val="minor"/>
      </rPr>
      <t>3.8</t>
    </r>
    <r>
      <rPr>
        <sz val="14"/>
        <color theme="1"/>
        <rFont val="Calibri"/>
        <family val="2"/>
        <scheme val="minor"/>
      </rPr>
      <t xml:space="preserve"> Heat-Island Management (Option 1: Vegetated Roof)</t>
    </r>
  </si>
  <si>
    <r>
      <rPr>
        <b/>
        <sz val="14"/>
        <color theme="1"/>
        <rFont val="Calibri"/>
        <family val="2"/>
        <scheme val="minor"/>
      </rPr>
      <t>3.8</t>
    </r>
    <r>
      <rPr>
        <sz val="14"/>
        <color theme="1"/>
        <rFont val="Calibri"/>
        <family val="2"/>
        <scheme val="minor"/>
      </rPr>
      <t xml:space="preserve"> Heat-Island Management (Option 1: SRI)</t>
    </r>
  </si>
  <si>
    <r>
      <rPr>
        <b/>
        <sz val="14"/>
        <color theme="1"/>
        <rFont val="Calibri"/>
        <family val="2"/>
        <scheme val="minor"/>
      </rPr>
      <t xml:space="preserve">3.8 </t>
    </r>
    <r>
      <rPr>
        <sz val="14"/>
        <color theme="1"/>
        <rFont val="Calibri"/>
        <family val="2"/>
        <scheme val="minor"/>
      </rPr>
      <t>Heat-Island Management (Option 1: PV Panels)</t>
    </r>
  </si>
  <si>
    <r>
      <rPr>
        <b/>
        <sz val="14"/>
        <color theme="1"/>
        <rFont val="Calibri"/>
        <family val="2"/>
        <scheme val="minor"/>
      </rPr>
      <t>3.8</t>
    </r>
    <r>
      <rPr>
        <sz val="14"/>
        <color theme="1"/>
        <rFont val="Calibri"/>
        <family val="2"/>
        <scheme val="minor"/>
      </rPr>
      <t xml:space="preserve"> Heat-Island Management (Option 2: Trees/Vegetation)</t>
    </r>
  </si>
  <si>
    <r>
      <rPr>
        <b/>
        <sz val="14"/>
        <color theme="1"/>
        <rFont val="Calibri"/>
        <family val="2"/>
        <scheme val="minor"/>
      </rPr>
      <t>3.8</t>
    </r>
    <r>
      <rPr>
        <sz val="14"/>
        <color theme="1"/>
        <rFont val="Calibri"/>
        <family val="2"/>
        <scheme val="minor"/>
      </rPr>
      <t xml:space="preserve"> Heat-Island Management (Option 2: Shade Structures)</t>
    </r>
  </si>
  <si>
    <r>
      <rPr>
        <b/>
        <sz val="14"/>
        <color theme="1"/>
        <rFont val="Calibri"/>
        <family val="2"/>
        <scheme val="minor"/>
      </rPr>
      <t>3.8</t>
    </r>
    <r>
      <rPr>
        <sz val="14"/>
        <color theme="1"/>
        <rFont val="Calibri"/>
        <family val="2"/>
        <scheme val="minor"/>
      </rPr>
      <t xml:space="preserve"> Heat-Island Management (Option 2: SR 0.33)</t>
    </r>
  </si>
  <si>
    <r>
      <rPr>
        <b/>
        <sz val="14"/>
        <color theme="1"/>
        <rFont val="Calibri"/>
        <family val="2"/>
        <scheme val="minor"/>
      </rPr>
      <t>3.8</t>
    </r>
    <r>
      <rPr>
        <sz val="14"/>
        <color theme="1"/>
        <rFont val="Calibri"/>
        <family val="2"/>
        <scheme val="minor"/>
      </rPr>
      <t xml:space="preserve"> Heat-Island Management (Option 2: Open-grid paving)</t>
    </r>
  </si>
  <si>
    <r>
      <rPr>
        <b/>
        <sz val="14"/>
        <color theme="1"/>
        <rFont val="Calibri"/>
        <family val="2"/>
        <scheme val="minor"/>
      </rPr>
      <t>3.9</t>
    </r>
    <r>
      <rPr>
        <sz val="14"/>
        <color theme="1"/>
        <rFont val="Calibri"/>
        <family val="2"/>
        <scheme val="minor"/>
      </rPr>
      <t xml:space="preserve"> Resilient Site Design: Wind (Option 1 - Multifamily)</t>
    </r>
  </si>
  <si>
    <r>
      <rPr>
        <b/>
        <sz val="14"/>
        <color theme="1"/>
        <rFont val="Calibri"/>
        <family val="2"/>
        <scheme val="minor"/>
      </rPr>
      <t>3.9</t>
    </r>
    <r>
      <rPr>
        <sz val="14"/>
        <color theme="1"/>
        <rFont val="Calibri"/>
        <family val="2"/>
        <scheme val="minor"/>
      </rPr>
      <t xml:space="preserve"> Resilient Site Design: Wind (Option 1 - Single Family)</t>
    </r>
  </si>
  <si>
    <r>
      <rPr>
        <b/>
        <sz val="14"/>
        <color theme="1"/>
        <rFont val="Calibri"/>
        <family val="2"/>
        <scheme val="minor"/>
      </rPr>
      <t xml:space="preserve">3.9 </t>
    </r>
    <r>
      <rPr>
        <sz val="14"/>
        <color theme="1"/>
        <rFont val="Calibri"/>
        <family val="2"/>
        <scheme val="minor"/>
      </rPr>
      <t>Resilient Site Design: Wind (Option 2)</t>
    </r>
  </si>
  <si>
    <r>
      <rPr>
        <b/>
        <sz val="14"/>
        <color theme="1"/>
        <rFont val="Calibri"/>
        <family val="2"/>
        <scheme val="minor"/>
      </rPr>
      <t>3.9</t>
    </r>
    <r>
      <rPr>
        <sz val="14"/>
        <color theme="1"/>
        <rFont val="Calibri"/>
        <family val="2"/>
        <scheme val="minor"/>
      </rPr>
      <t xml:space="preserve"> Option 2: Openings-Shutters - Install window shutters</t>
    </r>
  </si>
  <si>
    <r>
      <rPr>
        <b/>
        <sz val="14"/>
        <color theme="1"/>
        <rFont val="Calibri"/>
        <family val="2"/>
        <scheme val="minor"/>
      </rPr>
      <t>3.9</t>
    </r>
    <r>
      <rPr>
        <sz val="14"/>
        <color theme="1"/>
        <rFont val="Calibri"/>
        <family val="2"/>
        <scheme val="minor"/>
      </rPr>
      <t xml:space="preserve"> Option 2: Openings-Shutters - Eliminate mulled windows</t>
    </r>
  </si>
  <si>
    <r>
      <rPr>
        <b/>
        <sz val="14"/>
        <color theme="1"/>
        <rFont val="Calibri"/>
        <family val="2"/>
        <scheme val="minor"/>
      </rPr>
      <t>3.9</t>
    </r>
    <r>
      <rPr>
        <sz val="14"/>
        <color theme="1"/>
        <rFont val="Calibri"/>
        <family val="2"/>
        <scheme val="minor"/>
      </rPr>
      <t xml:space="preserve"> Option 2: Openings-Shutters - Outswing doors</t>
    </r>
  </si>
  <si>
    <r>
      <rPr>
        <b/>
        <sz val="14"/>
        <color theme="1"/>
        <rFont val="Calibri"/>
        <family val="2"/>
        <scheme val="minor"/>
      </rPr>
      <t>3.9</t>
    </r>
    <r>
      <rPr>
        <sz val="14"/>
        <color theme="1"/>
        <rFont val="Calibri"/>
        <family val="2"/>
        <scheme val="minor"/>
      </rPr>
      <t xml:space="preserve"> Option 2: Openings-Shutters - Door and windows assembly rated for design pressure</t>
    </r>
  </si>
  <si>
    <r>
      <rPr>
        <b/>
        <sz val="14"/>
        <color theme="1"/>
        <rFont val="Calibri"/>
        <family val="2"/>
        <scheme val="minor"/>
      </rPr>
      <t>3.9</t>
    </r>
    <r>
      <rPr>
        <sz val="14"/>
        <color theme="1"/>
        <rFont val="Calibri"/>
        <family val="2"/>
        <scheme val="minor"/>
      </rPr>
      <t xml:space="preserve"> Option 2: Openings-Shutters - Door assembly rated for design wind pressure</t>
    </r>
  </si>
  <si>
    <r>
      <rPr>
        <b/>
        <sz val="14"/>
        <color theme="1"/>
        <rFont val="Calibri"/>
        <family val="2"/>
        <scheme val="minor"/>
      </rPr>
      <t>3.9</t>
    </r>
    <r>
      <rPr>
        <sz val="14"/>
        <color theme="1"/>
        <rFont val="Calibri"/>
        <family val="2"/>
        <scheme val="minor"/>
      </rPr>
      <t xml:space="preserve"> Option 2: Openings-Shutters - All glazed openings resistant/protected from wind-borne debris</t>
    </r>
  </si>
  <si>
    <r>
      <rPr>
        <b/>
        <sz val="14"/>
        <color theme="1"/>
        <rFont val="Calibri"/>
        <family val="2"/>
        <scheme val="minor"/>
      </rPr>
      <t>3.9</t>
    </r>
    <r>
      <rPr>
        <sz val="14"/>
        <color theme="1"/>
        <rFont val="Calibri"/>
        <family val="2"/>
        <scheme val="minor"/>
      </rPr>
      <t xml:space="preserve"> Option 2: Openings-Shutters - All exterior door assemblies pressure/impact rated or protected</t>
    </r>
  </si>
  <si>
    <r>
      <rPr>
        <b/>
        <sz val="14"/>
        <color theme="1"/>
        <rFont val="Calibri"/>
        <family val="2"/>
        <scheme val="minor"/>
      </rPr>
      <t>3.9</t>
    </r>
    <r>
      <rPr>
        <sz val="14"/>
        <color theme="1"/>
        <rFont val="Calibri"/>
        <family val="2"/>
        <scheme val="minor"/>
      </rPr>
      <t xml:space="preserve"> Resilient Site Design: Wind 
(Option 2: Roof Deck &amp; Underlayment)</t>
    </r>
  </si>
  <si>
    <r>
      <rPr>
        <b/>
        <sz val="14"/>
        <color theme="1"/>
        <rFont val="Calibri"/>
        <family val="2"/>
        <scheme val="minor"/>
      </rPr>
      <t>3.9</t>
    </r>
    <r>
      <rPr>
        <sz val="14"/>
        <color theme="1"/>
        <rFont val="Calibri"/>
        <family val="2"/>
        <scheme val="minor"/>
      </rPr>
      <t xml:space="preserve"> Option 2: Roof Deck &amp; Underlayment - Decking
Use a minimum 7/16 in. plywood or OSB</t>
    </r>
  </si>
  <si>
    <r>
      <rPr>
        <b/>
        <sz val="14"/>
        <color theme="1"/>
        <rFont val="Calibri"/>
        <family val="2"/>
        <scheme val="minor"/>
      </rPr>
      <t>3.9</t>
    </r>
    <r>
      <rPr>
        <sz val="14"/>
        <color theme="1"/>
        <rFont val="Calibri"/>
        <family val="2"/>
        <scheme val="minor"/>
      </rPr>
      <t xml:space="preserve"> Option 2: Roof Deck &amp; Underlayment - Decking 
Nailing requiements</t>
    </r>
  </si>
  <si>
    <r>
      <rPr>
        <b/>
        <sz val="14"/>
        <color theme="1"/>
        <rFont val="Calibri"/>
        <family val="2"/>
        <scheme val="minor"/>
      </rPr>
      <t>3.9</t>
    </r>
    <r>
      <rPr>
        <sz val="14"/>
        <color theme="1"/>
        <rFont val="Calibri"/>
        <family val="2"/>
        <scheme val="minor"/>
      </rPr>
      <t xml:space="preserve"> Option 2: Roof Deck &amp; Underlayment - Underlay
Flashing tape and felt</t>
    </r>
  </si>
  <si>
    <r>
      <rPr>
        <b/>
        <sz val="14"/>
        <color theme="1"/>
        <rFont val="Calibri"/>
        <family val="2"/>
        <scheme val="minor"/>
      </rPr>
      <t>3.9</t>
    </r>
    <r>
      <rPr>
        <sz val="14"/>
        <color theme="1"/>
        <rFont val="Calibri"/>
        <family val="2"/>
        <scheme val="minor"/>
      </rPr>
      <t xml:space="preserve"> Option 2: Roof Deck &amp; Underlayment - Underlay
Two-layer felt</t>
    </r>
  </si>
  <si>
    <r>
      <rPr>
        <b/>
        <sz val="14"/>
        <color theme="1"/>
        <rFont val="Calibri"/>
        <family val="2"/>
        <scheme val="minor"/>
      </rPr>
      <t>3.9</t>
    </r>
    <r>
      <rPr>
        <sz val="14"/>
        <color theme="1"/>
        <rFont val="Calibri"/>
        <family val="2"/>
        <scheme val="minor"/>
      </rPr>
      <t xml:space="preserve"> Option 2: Roof Deck &amp; Underlayment - Underlay
Self-adhered membrane</t>
    </r>
  </si>
  <si>
    <r>
      <rPr>
        <b/>
        <sz val="14"/>
        <color theme="1"/>
        <rFont val="Calibri"/>
        <family val="2"/>
        <scheme val="minor"/>
      </rPr>
      <t>3.9</t>
    </r>
    <r>
      <rPr>
        <sz val="14"/>
        <color theme="1"/>
        <rFont val="Calibri"/>
        <family val="2"/>
        <scheme val="minor"/>
      </rPr>
      <t xml:space="preserve"> Option 2: Roof Deck &amp; Underlayment - Fasteners
Metal-cap nails</t>
    </r>
  </si>
  <si>
    <r>
      <rPr>
        <b/>
        <sz val="14"/>
        <color theme="1"/>
        <rFont val="Calibri"/>
        <family val="2"/>
        <scheme val="minor"/>
      </rPr>
      <t>3.9</t>
    </r>
    <r>
      <rPr>
        <sz val="14"/>
        <color theme="1"/>
        <rFont val="Calibri"/>
        <family val="2"/>
        <scheme val="minor"/>
      </rPr>
      <t xml:space="preserve"> Option 2: Roof Deck &amp; Underlayment - Fasteners 
Plastic-cap nails</t>
    </r>
  </si>
  <si>
    <r>
      <rPr>
        <b/>
        <sz val="14"/>
        <color theme="1"/>
        <rFont val="Calibri"/>
        <family val="2"/>
        <scheme val="minor"/>
      </rPr>
      <t>3.9</t>
    </r>
    <r>
      <rPr>
        <sz val="14"/>
        <color theme="1"/>
        <rFont val="Calibri"/>
        <family val="2"/>
        <scheme val="minor"/>
      </rPr>
      <t xml:space="preserve"> Option 2: Roof Deck &amp; Underlayment - Fasteners 
Button-cap nails</t>
    </r>
  </si>
  <si>
    <r>
      <rPr>
        <b/>
        <sz val="14"/>
        <color theme="1"/>
        <rFont val="Calibri"/>
        <family val="2"/>
        <scheme val="minor"/>
      </rPr>
      <t>3.9</t>
    </r>
    <r>
      <rPr>
        <sz val="14"/>
        <color theme="1"/>
        <rFont val="Calibri"/>
        <family val="2"/>
        <scheme val="minor"/>
      </rPr>
      <t xml:space="preserve"> Resilient Site Design: Wind 
(Option 2: High-Wind Roof Covering)</t>
    </r>
  </si>
  <si>
    <r>
      <rPr>
        <b/>
        <sz val="14"/>
        <color theme="1"/>
        <rFont val="Calibri"/>
        <family val="2"/>
        <scheme val="minor"/>
      </rPr>
      <t>3.9</t>
    </r>
    <r>
      <rPr>
        <sz val="14"/>
        <color theme="1"/>
        <rFont val="Calibri"/>
        <family val="2"/>
        <scheme val="minor"/>
      </rPr>
      <t xml:space="preserve"> Option 2: High-Wind Roof Covering - Roof Cover
Asphalt shingles high-wind rated</t>
    </r>
  </si>
  <si>
    <r>
      <rPr>
        <b/>
        <sz val="14"/>
        <color theme="1"/>
        <rFont val="Calibri"/>
        <family val="2"/>
        <scheme val="minor"/>
      </rPr>
      <t>3.9</t>
    </r>
    <r>
      <rPr>
        <sz val="14"/>
        <color theme="1"/>
        <rFont val="Calibri"/>
        <family val="2"/>
        <scheme val="minor"/>
      </rPr>
      <t xml:space="preserve"> Option 2: High-Wind Roof Covering - Roof Cover
Seal drip-edge</t>
    </r>
  </si>
  <si>
    <r>
      <rPr>
        <b/>
        <sz val="14"/>
        <color theme="1"/>
        <rFont val="Calibri"/>
        <family val="2"/>
        <scheme val="minor"/>
      </rPr>
      <t>3.9</t>
    </r>
    <r>
      <rPr>
        <sz val="14"/>
        <color theme="1"/>
        <rFont val="Calibri"/>
        <family val="2"/>
        <scheme val="minor"/>
      </rPr>
      <t xml:space="preserve"> Option 2: High-Wind Roof Covering - Roof Cover
Asphalt roof cement for hip and ridge shingles</t>
    </r>
  </si>
  <si>
    <r>
      <rPr>
        <b/>
        <sz val="14"/>
        <color theme="1"/>
        <rFont val="Calibri"/>
        <family val="2"/>
        <scheme val="minor"/>
      </rPr>
      <t>3.9</t>
    </r>
    <r>
      <rPr>
        <sz val="14"/>
        <color theme="1"/>
        <rFont val="Calibri"/>
        <family val="2"/>
        <scheme val="minor"/>
      </rPr>
      <t xml:space="preserve"> Option 2: High-Wind Roof Covering - Roof Cover
Roof coverings besides asphalt shingles</t>
    </r>
  </si>
  <si>
    <r>
      <rPr>
        <b/>
        <sz val="14"/>
        <color theme="1"/>
        <rFont val="Calibri"/>
        <family val="2"/>
        <scheme val="minor"/>
      </rPr>
      <t>3.9</t>
    </r>
    <r>
      <rPr>
        <sz val="14"/>
        <color theme="1"/>
        <rFont val="Calibri"/>
        <family val="2"/>
        <scheme val="minor"/>
      </rPr>
      <t xml:space="preserve"> Option 2: High-Wind Roof Covering - Drip/Flashing
Drip edge on top of underlayment</t>
    </r>
  </si>
  <si>
    <r>
      <rPr>
        <b/>
        <sz val="14"/>
        <color theme="1"/>
        <rFont val="Calibri"/>
        <family val="2"/>
        <scheme val="minor"/>
      </rPr>
      <t>3.9</t>
    </r>
    <r>
      <rPr>
        <sz val="14"/>
        <color theme="1"/>
        <rFont val="Calibri"/>
        <family val="2"/>
        <scheme val="minor"/>
      </rPr>
      <t xml:space="preserve"> Option 2: High-Wind Roof Covering - Drip/Flashing
Drip edges mechanically fastened to roof deck</t>
    </r>
  </si>
  <si>
    <r>
      <rPr>
        <b/>
        <sz val="14"/>
        <color theme="1"/>
        <rFont val="Calibri"/>
        <family val="2"/>
        <scheme val="minor"/>
      </rPr>
      <t>3.9</t>
    </r>
    <r>
      <rPr>
        <sz val="14"/>
        <color theme="1"/>
        <rFont val="Calibri"/>
        <family val="2"/>
        <scheme val="minor"/>
      </rPr>
      <t xml:space="preserve"> Option 2: High-Wind Roof Covering - Drip/Flashing
Additional flashing requirements</t>
    </r>
  </si>
  <si>
    <r>
      <rPr>
        <b/>
        <sz val="14"/>
        <color theme="1"/>
        <rFont val="Calibri"/>
        <family val="2"/>
        <scheme val="minor"/>
      </rPr>
      <t>3.9</t>
    </r>
    <r>
      <rPr>
        <sz val="14"/>
        <color theme="1"/>
        <rFont val="Calibri"/>
        <family val="2"/>
        <scheme val="minor"/>
      </rPr>
      <t xml:space="preserve"> Resilient Site Design: Wind 
(Option 2: Continuous Load Path)</t>
    </r>
  </si>
  <si>
    <r>
      <rPr>
        <b/>
        <sz val="14"/>
        <color theme="1"/>
        <rFont val="Calibri"/>
        <family val="2"/>
        <scheme val="minor"/>
      </rPr>
      <t>3.9</t>
    </r>
    <r>
      <rPr>
        <sz val="14"/>
        <color theme="1"/>
        <rFont val="Calibri"/>
        <family val="2"/>
        <scheme val="minor"/>
      </rPr>
      <t xml:space="preserve"> Option 2: Continuous Load Path - 
Attach wall sheating over common framing</t>
    </r>
  </si>
  <si>
    <r>
      <rPr>
        <b/>
        <sz val="14"/>
        <color theme="1"/>
        <rFont val="Calibri"/>
        <family val="2"/>
        <scheme val="minor"/>
      </rPr>
      <t>3.9</t>
    </r>
    <r>
      <rPr>
        <sz val="14"/>
        <color theme="1"/>
        <rFont val="Calibri"/>
        <family val="2"/>
        <scheme val="minor"/>
      </rPr>
      <t xml:space="preserve"> Option 2: Continuous Load Path - 
Licensed engineer-designed load path</t>
    </r>
  </si>
  <si>
    <r>
      <rPr>
        <b/>
        <sz val="14"/>
        <color theme="1"/>
        <rFont val="Calibri"/>
        <family val="2"/>
        <scheme val="minor"/>
      </rPr>
      <t>3.9</t>
    </r>
    <r>
      <rPr>
        <sz val="14"/>
        <color theme="1"/>
        <rFont val="Calibri"/>
        <family val="2"/>
        <scheme val="minor"/>
      </rPr>
      <t xml:space="preserve"> Option 2: Continuous Load Path - 
Roof sheathing attachment</t>
    </r>
  </si>
  <si>
    <r>
      <rPr>
        <b/>
        <sz val="14"/>
        <color theme="1"/>
        <rFont val="Calibri"/>
        <family val="2"/>
        <scheme val="minor"/>
      </rPr>
      <t>3.9</t>
    </r>
    <r>
      <rPr>
        <sz val="14"/>
        <color theme="1"/>
        <rFont val="Calibri"/>
        <family val="2"/>
        <scheme val="minor"/>
      </rPr>
      <t xml:space="preserve"> Option 2: Continuous Load Path - 
Roof Truss/Rafter Attachment</t>
    </r>
  </si>
  <si>
    <r>
      <rPr>
        <b/>
        <sz val="14"/>
        <color theme="1"/>
        <rFont val="Calibri"/>
        <family val="2"/>
        <scheme val="minor"/>
      </rPr>
      <t>3.9</t>
    </r>
    <r>
      <rPr>
        <sz val="14"/>
        <color theme="1"/>
        <rFont val="Calibri"/>
        <family val="2"/>
        <scheme val="minor"/>
      </rPr>
      <t xml:space="preserve"> Option 2: Continuous Load Path - 
Wall-to-Foundation Connection</t>
    </r>
  </si>
  <si>
    <r>
      <rPr>
        <b/>
        <sz val="14"/>
        <color theme="1"/>
        <rFont val="Calibri"/>
        <family val="2"/>
        <scheme val="minor"/>
      </rPr>
      <t>3.9</t>
    </r>
    <r>
      <rPr>
        <sz val="14"/>
        <color theme="1"/>
        <rFont val="Calibri"/>
        <family val="2"/>
        <scheme val="minor"/>
      </rPr>
      <t xml:space="preserve"> Option 2: Garage Doors - 
Install additional brackets and rails</t>
    </r>
  </si>
  <si>
    <r>
      <rPr>
        <b/>
        <sz val="14"/>
        <color theme="1"/>
        <rFont val="Calibri"/>
        <family val="2"/>
        <scheme val="minor"/>
      </rPr>
      <t>3.9</t>
    </r>
    <r>
      <rPr>
        <sz val="14"/>
        <color theme="1"/>
        <rFont val="Calibri"/>
        <family val="2"/>
        <scheme val="minor"/>
      </rPr>
      <t xml:space="preserve"> Option 2: Garage Doors - Garage doors without glazed openings meet design pressure</t>
    </r>
  </si>
  <si>
    <r>
      <rPr>
        <b/>
        <sz val="14"/>
        <color theme="1"/>
        <rFont val="Calibri"/>
        <family val="2"/>
        <scheme val="minor"/>
      </rPr>
      <t>3.9</t>
    </r>
    <r>
      <rPr>
        <sz val="14"/>
        <color theme="1"/>
        <rFont val="Calibri"/>
        <family val="2"/>
        <scheme val="minor"/>
      </rPr>
      <t xml:space="preserve"> Option 2: Garage Doors - Garage doors with glazed openings meet design pressure</t>
    </r>
  </si>
  <si>
    <r>
      <rPr>
        <b/>
        <sz val="14"/>
        <color theme="1"/>
        <rFont val="Calibri"/>
        <family val="2"/>
        <scheme val="minor"/>
      </rPr>
      <t xml:space="preserve">3.9 </t>
    </r>
    <r>
      <rPr>
        <sz val="14"/>
        <color theme="1"/>
        <rFont val="Calibri"/>
        <family val="2"/>
        <scheme val="minor"/>
      </rPr>
      <t xml:space="preserve">Option 2: Wall System - Full wrap of OSB or plywood </t>
    </r>
  </si>
  <si>
    <r>
      <rPr>
        <b/>
        <sz val="14"/>
        <color theme="1"/>
        <rFont val="Calibri"/>
        <family val="2"/>
        <scheme val="minor"/>
      </rPr>
      <t xml:space="preserve">3.9 </t>
    </r>
    <r>
      <rPr>
        <sz val="14"/>
        <color theme="1"/>
        <rFont val="Calibri"/>
        <family val="2"/>
        <scheme val="minor"/>
      </rPr>
      <t>Option 2: Wall System - Corrugated Brick Ties</t>
    </r>
  </si>
  <si>
    <r>
      <rPr>
        <b/>
        <sz val="14"/>
        <color theme="1"/>
        <rFont val="Calibri"/>
        <family val="2"/>
        <scheme val="minor"/>
      </rPr>
      <t xml:space="preserve">3.9 </t>
    </r>
    <r>
      <rPr>
        <sz val="14"/>
        <color theme="1"/>
        <rFont val="Calibri"/>
        <family val="2"/>
        <scheme val="minor"/>
      </rPr>
      <t>Option 2: Wall System - Reinforced CMU/ICF</t>
    </r>
  </si>
  <si>
    <r>
      <rPr>
        <b/>
        <sz val="14"/>
        <color theme="1"/>
        <rFont val="Calibri"/>
        <family val="2"/>
        <scheme val="minor"/>
      </rPr>
      <t xml:space="preserve">3.9 </t>
    </r>
    <r>
      <rPr>
        <sz val="14"/>
        <color theme="1"/>
        <rFont val="Calibri"/>
        <family val="2"/>
        <scheme val="minor"/>
      </rPr>
      <t>Option 2: Wall System - Vinyl siding</t>
    </r>
  </si>
  <si>
    <r>
      <rPr>
        <b/>
        <sz val="14"/>
        <color theme="1"/>
        <rFont val="Calibri"/>
        <family val="2"/>
        <scheme val="minor"/>
      </rPr>
      <t xml:space="preserve">3.9 </t>
    </r>
    <r>
      <rPr>
        <sz val="14"/>
        <color theme="1"/>
        <rFont val="Calibri"/>
        <family val="2"/>
        <scheme val="minor"/>
      </rPr>
      <t>Option 2: Wall System - High-wind-rated fiber cement products</t>
    </r>
  </si>
  <si>
    <r>
      <rPr>
        <b/>
        <sz val="14"/>
        <color theme="1"/>
        <rFont val="Calibri"/>
        <family val="2"/>
        <scheme val="minor"/>
      </rPr>
      <t xml:space="preserve">3.9 </t>
    </r>
    <r>
      <rPr>
        <sz val="14"/>
        <color theme="1"/>
        <rFont val="Calibri"/>
        <family val="2"/>
        <scheme val="minor"/>
      </rPr>
      <t>Option 2: Wall System - Fiber cement products designed or tested to meet design wind pressures</t>
    </r>
  </si>
  <si>
    <r>
      <rPr>
        <b/>
        <sz val="14"/>
        <color theme="1"/>
        <rFont val="Calibri"/>
        <family val="2"/>
        <scheme val="minor"/>
      </rPr>
      <t>3.9</t>
    </r>
    <r>
      <rPr>
        <sz val="14"/>
        <color theme="1"/>
        <rFont val="Calibri"/>
        <family val="2"/>
        <scheme val="minor"/>
      </rPr>
      <t xml:space="preserve"> Option 2: Soffit - Additional nailing strips</t>
    </r>
  </si>
  <si>
    <r>
      <rPr>
        <b/>
        <sz val="14"/>
        <color theme="1"/>
        <rFont val="Calibri"/>
        <family val="2"/>
        <scheme val="minor"/>
      </rPr>
      <t>3.9</t>
    </r>
    <r>
      <rPr>
        <sz val="14"/>
        <color theme="1"/>
        <rFont val="Calibri"/>
        <family val="2"/>
        <scheme val="minor"/>
      </rPr>
      <t xml:space="preserve"> Option 2: Soffit - Vinyl and metal soffit, follow manufacturer-recommended high-wind application. </t>
    </r>
  </si>
  <si>
    <r>
      <rPr>
        <b/>
        <sz val="14"/>
        <color theme="1"/>
        <rFont val="Calibri"/>
        <family val="2"/>
        <scheme val="minor"/>
      </rPr>
      <t>3.9</t>
    </r>
    <r>
      <rPr>
        <sz val="14"/>
        <color theme="1"/>
        <rFont val="Calibri"/>
        <family val="2"/>
        <scheme val="minor"/>
      </rPr>
      <t xml:space="preserve"> Option 2: Soffit - Fiber cement soffit material applied over additional nailing strips</t>
    </r>
  </si>
  <si>
    <r>
      <rPr>
        <b/>
        <sz val="14"/>
        <color theme="1"/>
        <rFont val="Calibri"/>
        <family val="2"/>
        <scheme val="minor"/>
      </rPr>
      <t>3.9</t>
    </r>
    <r>
      <rPr>
        <sz val="14"/>
        <color theme="1"/>
        <rFont val="Calibri"/>
        <family val="2"/>
        <scheme val="minor"/>
      </rPr>
      <t xml:space="preserve"> Option 2: Pressurization Design - Do not distribute concentrated loads in walls around openings.</t>
    </r>
  </si>
  <si>
    <r>
      <rPr>
        <b/>
        <sz val="14"/>
        <color theme="1"/>
        <rFont val="Calibri"/>
        <family val="2"/>
        <scheme val="minor"/>
      </rPr>
      <t>3.9</t>
    </r>
    <r>
      <rPr>
        <sz val="14"/>
        <color theme="1"/>
        <rFont val="Calibri"/>
        <family val="2"/>
        <scheme val="minor"/>
      </rPr>
      <t xml:space="preserve"> Option 2: Pressurization Design - 
Stack openings of each level.</t>
    </r>
  </si>
  <si>
    <r>
      <rPr>
        <b/>
        <sz val="14"/>
        <color theme="1"/>
        <rFont val="Calibri"/>
        <family val="2"/>
        <scheme val="minor"/>
      </rPr>
      <t>3.9</t>
    </r>
    <r>
      <rPr>
        <sz val="14"/>
        <color theme="1"/>
        <rFont val="Calibri"/>
        <family val="2"/>
        <scheme val="minor"/>
      </rPr>
      <t xml:space="preserve"> Option 2: Pressurization Design - 
Shear walls have low aspect ratios</t>
    </r>
  </si>
  <si>
    <r>
      <rPr>
        <b/>
        <sz val="14"/>
        <color theme="1"/>
        <rFont val="Calibri"/>
        <family val="2"/>
        <scheme val="minor"/>
      </rPr>
      <t>3.9</t>
    </r>
    <r>
      <rPr>
        <sz val="14"/>
        <color theme="1"/>
        <rFont val="Calibri"/>
        <family val="2"/>
        <scheme val="minor"/>
      </rPr>
      <t xml:space="preserve"> Option 2: Pressurization Design - 
Shear walls/protections at corners</t>
    </r>
  </si>
  <si>
    <r>
      <rPr>
        <b/>
        <sz val="14"/>
        <color theme="1"/>
        <rFont val="Calibri"/>
        <family val="2"/>
        <scheme val="minor"/>
      </rPr>
      <t>3.9</t>
    </r>
    <r>
      <rPr>
        <sz val="14"/>
        <color theme="1"/>
        <rFont val="Calibri"/>
        <family val="2"/>
        <scheme val="minor"/>
      </rPr>
      <t xml:space="preserve"> Option 2: Pressurization Design - 
Engineer-optimized shear wall lengths</t>
    </r>
  </si>
  <si>
    <r>
      <rPr>
        <b/>
        <sz val="14"/>
        <color theme="1"/>
        <rFont val="Calibri"/>
        <family val="2"/>
        <scheme val="minor"/>
      </rPr>
      <t>3.9</t>
    </r>
    <r>
      <rPr>
        <sz val="14"/>
        <color theme="1"/>
        <rFont val="Calibri"/>
        <family val="2"/>
        <scheme val="minor"/>
      </rPr>
      <t xml:space="preserve"> Option 2: Pressurization Design - 
Larger openings parallel to main roof joists</t>
    </r>
  </si>
  <si>
    <r>
      <rPr>
        <b/>
        <sz val="14"/>
        <color theme="1"/>
        <rFont val="Calibri"/>
        <family val="2"/>
        <scheme val="minor"/>
      </rPr>
      <t xml:space="preserve">3.9 </t>
    </r>
    <r>
      <rPr>
        <sz val="14"/>
        <color theme="1"/>
        <rFont val="Calibri"/>
        <family val="2"/>
        <scheme val="minor"/>
      </rPr>
      <t>Option 2: Chimney - 
Masonry chimney adjacent to building envelope</t>
    </r>
  </si>
  <si>
    <r>
      <rPr>
        <b/>
        <sz val="14"/>
        <color theme="1"/>
        <rFont val="Calibri"/>
        <family val="2"/>
        <scheme val="minor"/>
      </rPr>
      <t xml:space="preserve">3.9 </t>
    </r>
    <r>
      <rPr>
        <sz val="14"/>
        <color theme="1"/>
        <rFont val="Calibri"/>
        <family val="2"/>
        <scheme val="minor"/>
      </rPr>
      <t>Option 2: Chimney - Masonry chimney sitting on top of a deck and penetrates balloon frame</t>
    </r>
  </si>
  <si>
    <r>
      <rPr>
        <b/>
        <sz val="14"/>
        <color theme="1"/>
        <rFont val="Calibri"/>
        <family val="2"/>
        <scheme val="minor"/>
      </rPr>
      <t xml:space="preserve">3.9 </t>
    </r>
    <r>
      <rPr>
        <sz val="14"/>
        <color theme="1"/>
        <rFont val="Calibri"/>
        <family val="2"/>
        <scheme val="minor"/>
      </rPr>
      <t>Option 2: Chimney - Framed chimney penetrates roof structure around metal flue</t>
    </r>
  </si>
  <si>
    <r>
      <rPr>
        <b/>
        <sz val="14"/>
        <color theme="1"/>
        <rFont val="Calibri"/>
        <family val="2"/>
        <scheme val="minor"/>
      </rPr>
      <t xml:space="preserve">3.9 </t>
    </r>
    <r>
      <rPr>
        <sz val="14"/>
        <color theme="1"/>
        <rFont val="Calibri"/>
        <family val="2"/>
        <scheme val="minor"/>
      </rPr>
      <t>Option 2: Chimney - Framed chimney adjacent to building envelope around metal flue</t>
    </r>
  </si>
  <si>
    <r>
      <rPr>
        <b/>
        <sz val="14"/>
        <color theme="1"/>
        <rFont val="Calibri"/>
        <family val="2"/>
        <scheme val="minor"/>
      </rPr>
      <t>3.9</t>
    </r>
    <r>
      <rPr>
        <sz val="14"/>
        <color theme="1"/>
        <rFont val="Calibri"/>
        <family val="2"/>
        <scheme val="minor"/>
      </rPr>
      <t xml:space="preserve"> Resilient Site Design: Wind 
(Option 2: Roof-mounted Equipment)</t>
    </r>
  </si>
  <si>
    <r>
      <rPr>
        <b/>
        <sz val="14"/>
        <color theme="1"/>
        <rFont val="Calibri"/>
        <family val="2"/>
        <scheme val="minor"/>
      </rPr>
      <t>3.9</t>
    </r>
    <r>
      <rPr>
        <sz val="14"/>
        <color theme="1"/>
        <rFont val="Calibri"/>
        <family val="2"/>
        <scheme val="minor"/>
      </rPr>
      <t xml:space="preserve"> Option 2: Roof-mounted Equipment - 
HVAC attachments do not compromise roof system</t>
    </r>
  </si>
  <si>
    <r>
      <rPr>
        <b/>
        <sz val="14"/>
        <color theme="1"/>
        <rFont val="Calibri"/>
        <family val="2"/>
        <scheme val="minor"/>
      </rPr>
      <t>3.9</t>
    </r>
    <r>
      <rPr>
        <sz val="14"/>
        <color theme="1"/>
        <rFont val="Calibri"/>
        <family val="2"/>
        <scheme val="minor"/>
      </rPr>
      <t xml:space="preserve"> Option 2: Roof-mounted Equipment - 
Ground mounting of PV</t>
    </r>
  </si>
  <si>
    <r>
      <rPr>
        <b/>
        <sz val="14"/>
        <color theme="1"/>
        <rFont val="Calibri"/>
        <family val="2"/>
        <scheme val="minor"/>
      </rPr>
      <t>3.9</t>
    </r>
    <r>
      <rPr>
        <sz val="14"/>
        <color theme="1"/>
        <rFont val="Calibri"/>
        <family val="2"/>
        <scheme val="minor"/>
      </rPr>
      <t xml:space="preserve"> Option 2: Roof-mounted Equipment - 
Solar PV installed at “zero tilt.”</t>
    </r>
  </si>
  <si>
    <r>
      <rPr>
        <b/>
        <sz val="14"/>
        <color theme="1"/>
        <rFont val="Calibri"/>
        <family val="2"/>
        <scheme val="minor"/>
      </rPr>
      <t>3.9</t>
    </r>
    <r>
      <rPr>
        <sz val="14"/>
        <color theme="1"/>
        <rFont val="Calibri"/>
        <family val="2"/>
        <scheme val="minor"/>
      </rPr>
      <t xml:space="preserve"> Option 2: Roof-mounted Equipment - 
Ground mounting of HVAC</t>
    </r>
  </si>
  <si>
    <r>
      <rPr>
        <b/>
        <sz val="14"/>
        <color theme="1"/>
        <rFont val="Calibri"/>
        <family val="2"/>
        <scheme val="minor"/>
      </rPr>
      <t>3.9</t>
    </r>
    <r>
      <rPr>
        <sz val="14"/>
        <color theme="1"/>
        <rFont val="Calibri"/>
        <family val="2"/>
        <scheme val="minor"/>
      </rPr>
      <t xml:space="preserve"> Option 2: Roof-mounted Equipment - 
Ground mounting of deck</t>
    </r>
  </si>
  <si>
    <r>
      <rPr>
        <b/>
        <sz val="14"/>
        <color theme="1"/>
        <rFont val="Calibri"/>
        <family val="2"/>
        <scheme val="minor"/>
      </rPr>
      <t>3.9</t>
    </r>
    <r>
      <rPr>
        <sz val="14"/>
        <color theme="1"/>
        <rFont val="Calibri"/>
        <family val="2"/>
        <scheme val="minor"/>
      </rPr>
      <t xml:space="preserve"> Option 2: Roof-mounted Equipment - 
Deck attachments do not compromise roof system</t>
    </r>
  </si>
  <si>
    <r>
      <rPr>
        <b/>
        <sz val="14"/>
        <color theme="1"/>
        <rFont val="Calibri"/>
        <family val="2"/>
        <scheme val="minor"/>
      </rPr>
      <t xml:space="preserve">3.10 </t>
    </r>
    <r>
      <rPr>
        <sz val="14"/>
        <color theme="1"/>
        <rFont val="Calibri"/>
        <family val="2"/>
        <scheme val="minor"/>
      </rPr>
      <t>Resilient Site Design: Flood</t>
    </r>
  </si>
  <si>
    <r>
      <rPr>
        <b/>
        <sz val="14"/>
        <color theme="1"/>
        <rFont val="Calibri"/>
        <family val="2"/>
        <scheme val="minor"/>
      </rPr>
      <t>3.10</t>
    </r>
    <r>
      <rPr>
        <sz val="14"/>
        <color theme="1"/>
        <rFont val="Calibri"/>
        <family val="2"/>
        <scheme val="minor"/>
      </rPr>
      <t xml:space="preserve"> Resilient Site Design: Flood, Option 2 - Wall Assembly (implement at least two guidance items)</t>
    </r>
  </si>
  <si>
    <r>
      <rPr>
        <b/>
        <sz val="14"/>
        <color theme="1"/>
        <rFont val="Calibri"/>
        <family val="2"/>
        <scheme val="minor"/>
      </rPr>
      <t>3.10</t>
    </r>
    <r>
      <rPr>
        <sz val="14"/>
        <color theme="1"/>
        <rFont val="Calibri"/>
        <family val="2"/>
        <scheme val="minor"/>
      </rPr>
      <t xml:space="preserve"> Option 2: Wall Assembly - 
Spray studs with borate treatment</t>
    </r>
  </si>
  <si>
    <r>
      <rPr>
        <b/>
        <sz val="14"/>
        <color theme="1"/>
        <rFont val="Calibri"/>
        <family val="2"/>
        <scheme val="minor"/>
      </rPr>
      <t>3.10</t>
    </r>
    <r>
      <rPr>
        <sz val="14"/>
        <color theme="1"/>
        <rFont val="Calibri"/>
        <family val="2"/>
        <scheme val="minor"/>
      </rPr>
      <t xml:space="preserve"> Option 2: Wall Assembly - Drainage plane material</t>
    </r>
  </si>
  <si>
    <r>
      <rPr>
        <b/>
        <sz val="14"/>
        <color theme="1"/>
        <rFont val="Calibri"/>
        <family val="2"/>
        <scheme val="minor"/>
      </rPr>
      <t>3.10</t>
    </r>
    <r>
      <rPr>
        <sz val="14"/>
        <color theme="1"/>
        <rFont val="Calibri"/>
        <family val="2"/>
        <scheme val="minor"/>
      </rPr>
      <t xml:space="preserve"> Option 2: Wall Assembly - 
Vinyl or cement-based cladding and trim</t>
    </r>
  </si>
  <si>
    <r>
      <rPr>
        <b/>
        <sz val="14"/>
        <color theme="1"/>
        <rFont val="Calibri"/>
        <family val="2"/>
        <scheme val="minor"/>
      </rPr>
      <t>3.10</t>
    </r>
    <r>
      <rPr>
        <sz val="14"/>
        <color theme="1"/>
        <rFont val="Calibri"/>
        <family val="2"/>
        <scheme val="minor"/>
      </rPr>
      <t xml:space="preserve"> Option 2: Wall Assembly - Use solid sheathing</t>
    </r>
  </si>
  <si>
    <r>
      <rPr>
        <b/>
        <sz val="14"/>
        <color theme="1"/>
        <rFont val="Calibri"/>
        <family val="2"/>
        <scheme val="minor"/>
      </rPr>
      <t xml:space="preserve">3.10 </t>
    </r>
    <r>
      <rPr>
        <sz val="14"/>
        <color theme="1"/>
        <rFont val="Calibri"/>
        <family val="2"/>
        <scheme val="minor"/>
      </rPr>
      <t>Resilient Site Design: Flood, Option 2 - Utilities &amp; Mechanical Equipment (implement at least two guidance items)</t>
    </r>
  </si>
  <si>
    <r>
      <rPr>
        <b/>
        <sz val="14"/>
        <color theme="1"/>
        <rFont val="Calibri"/>
        <family val="2"/>
        <scheme val="minor"/>
      </rPr>
      <t xml:space="preserve">3.10 </t>
    </r>
    <r>
      <rPr>
        <sz val="14"/>
        <color theme="1"/>
        <rFont val="Calibri"/>
        <family val="2"/>
        <scheme val="minor"/>
      </rPr>
      <t>Option 2: Utilities &amp; Mechanical Equipment - Backflow valves</t>
    </r>
  </si>
  <si>
    <r>
      <rPr>
        <b/>
        <sz val="14"/>
        <color theme="1"/>
        <rFont val="Calibri"/>
        <family val="2"/>
        <scheme val="minor"/>
      </rPr>
      <t xml:space="preserve">3.10 </t>
    </r>
    <r>
      <rPr>
        <sz val="14"/>
        <color theme="1"/>
        <rFont val="Calibri"/>
        <family val="2"/>
        <scheme val="minor"/>
      </rPr>
      <t>Option 2: Utilities &amp; Mechanical Equipment - 
Quick-connect mechanisms</t>
    </r>
  </si>
  <si>
    <r>
      <rPr>
        <b/>
        <sz val="14"/>
        <color theme="1"/>
        <rFont val="Calibri"/>
        <family val="2"/>
        <scheme val="minor"/>
      </rPr>
      <t xml:space="preserve">3.10 </t>
    </r>
    <r>
      <rPr>
        <sz val="14"/>
        <color theme="1"/>
        <rFont val="Calibri"/>
        <family val="2"/>
        <scheme val="minor"/>
      </rPr>
      <t>Option 2: Utilities &amp; Mechanical Equipment - 
HVAC equipment and electrical panel box location</t>
    </r>
  </si>
  <si>
    <r>
      <rPr>
        <b/>
        <sz val="14"/>
        <color theme="1"/>
        <rFont val="Calibri"/>
        <family val="2"/>
        <scheme val="minor"/>
      </rPr>
      <t xml:space="preserve">3.10 </t>
    </r>
    <r>
      <rPr>
        <sz val="14"/>
        <color theme="1"/>
        <rFont val="Calibri"/>
        <family val="2"/>
        <scheme val="minor"/>
      </rPr>
      <t>Option 2: Utilities &amp; Mechanical Equipment - 
All service equipment location</t>
    </r>
  </si>
  <si>
    <r>
      <rPr>
        <b/>
        <sz val="14"/>
        <color theme="1"/>
        <rFont val="Calibri"/>
        <family val="2"/>
        <scheme val="minor"/>
      </rPr>
      <t xml:space="preserve">3.10 </t>
    </r>
    <r>
      <rPr>
        <sz val="14"/>
        <color theme="1"/>
        <rFont val="Calibri"/>
        <family val="2"/>
        <scheme val="minor"/>
      </rPr>
      <t>Resilient Site Design: Flood, Option 2 - Freeboard Elevation (implement at least one guidance item)</t>
    </r>
  </si>
  <si>
    <r>
      <rPr>
        <b/>
        <sz val="14"/>
        <color theme="1"/>
        <rFont val="Calibri"/>
        <family val="2"/>
        <scheme val="minor"/>
      </rPr>
      <t xml:space="preserve">3.10 </t>
    </r>
    <r>
      <rPr>
        <sz val="14"/>
        <color theme="1"/>
        <rFont val="Calibri"/>
        <family val="2"/>
        <scheme val="minor"/>
      </rPr>
      <t>Option 2: Freeboard Elevation - Coastal A or V Zone</t>
    </r>
  </si>
  <si>
    <r>
      <rPr>
        <b/>
        <sz val="14"/>
        <color theme="1"/>
        <rFont val="Calibri"/>
        <family val="2"/>
        <scheme val="minor"/>
      </rPr>
      <t xml:space="preserve">3.10 </t>
    </r>
    <r>
      <rPr>
        <sz val="14"/>
        <color theme="1"/>
        <rFont val="Calibri"/>
        <family val="2"/>
        <scheme val="minor"/>
      </rPr>
      <t>Option 2: Freeboard Elevation - BFE + 4 ft</t>
    </r>
  </si>
  <si>
    <r>
      <rPr>
        <b/>
        <sz val="14"/>
        <color theme="1"/>
        <rFont val="Calibri"/>
        <family val="2"/>
        <scheme val="minor"/>
      </rPr>
      <t xml:space="preserve">3.10 </t>
    </r>
    <r>
      <rPr>
        <sz val="14"/>
        <color theme="1"/>
        <rFont val="Calibri"/>
        <family val="2"/>
        <scheme val="minor"/>
      </rPr>
      <t>Resilient Site Design: Flood, Option 2 - Connectors &amp; Fasteners</t>
    </r>
  </si>
  <si>
    <r>
      <rPr>
        <b/>
        <sz val="14"/>
        <color theme="1"/>
        <rFont val="Calibri"/>
        <family val="2"/>
        <scheme val="minor"/>
      </rPr>
      <t xml:space="preserve">3.11 </t>
    </r>
    <r>
      <rPr>
        <sz val="14"/>
        <color theme="1"/>
        <rFont val="Calibri"/>
        <family val="2"/>
        <scheme val="minor"/>
      </rPr>
      <t>Resilient Site Design: Wildfire</t>
    </r>
  </si>
  <si>
    <r>
      <rPr>
        <b/>
        <sz val="14"/>
        <color theme="1"/>
        <rFont val="Calibri"/>
        <family val="2"/>
        <scheme val="minor"/>
      </rPr>
      <t xml:space="preserve">4.1 </t>
    </r>
    <r>
      <rPr>
        <sz val="14"/>
        <color theme="1"/>
        <rFont val="Calibri"/>
        <family val="2"/>
        <scheme val="minor"/>
      </rPr>
      <t>Water-Conserving Fixtures</t>
    </r>
  </si>
  <si>
    <r>
      <rPr>
        <b/>
        <sz val="14"/>
        <color theme="1"/>
        <rFont val="Calibri"/>
        <family val="2"/>
        <scheme val="minor"/>
      </rPr>
      <t xml:space="preserve">4.2 </t>
    </r>
    <r>
      <rPr>
        <sz val="14"/>
        <color theme="1"/>
        <rFont val="Calibri"/>
        <family val="2"/>
        <scheme val="minor"/>
      </rPr>
      <t>Advanced Water Conservation</t>
    </r>
  </si>
  <si>
    <r>
      <rPr>
        <b/>
        <sz val="14"/>
        <color theme="1"/>
        <rFont val="Calibri"/>
        <family val="2"/>
        <scheme val="minor"/>
      </rPr>
      <t>4.3</t>
    </r>
    <r>
      <rPr>
        <sz val="14"/>
        <color theme="1"/>
        <rFont val="Calibri"/>
        <family val="2"/>
        <scheme val="minor"/>
      </rPr>
      <t xml:space="preserve"> Water Quality (Requirement 1 - Lead service lines)</t>
    </r>
  </si>
  <si>
    <r>
      <rPr>
        <b/>
        <sz val="14"/>
        <color theme="1"/>
        <rFont val="Calibri"/>
        <family val="2"/>
        <scheme val="minor"/>
      </rPr>
      <t xml:space="preserve">4.3 </t>
    </r>
    <r>
      <rPr>
        <sz val="14"/>
        <color theme="1"/>
        <rFont val="Calibri"/>
        <family val="2"/>
        <scheme val="minor"/>
      </rPr>
      <t>Water Quality (Requirement 1 - Lead service lines)</t>
    </r>
  </si>
  <si>
    <r>
      <rPr>
        <b/>
        <sz val="14"/>
        <color theme="1"/>
        <rFont val="Calibri"/>
        <family val="2"/>
        <scheme val="minor"/>
      </rPr>
      <t>4.3</t>
    </r>
    <r>
      <rPr>
        <sz val="14"/>
        <color theme="1"/>
        <rFont val="Calibri"/>
        <family val="2"/>
        <scheme val="minor"/>
      </rPr>
      <t xml:space="preserve"> Water Quality (Requirement 2 - Legionella program)</t>
    </r>
  </si>
  <si>
    <r>
      <rPr>
        <b/>
        <sz val="14"/>
        <color theme="1"/>
        <rFont val="Calibri"/>
        <family val="2"/>
        <scheme val="minor"/>
      </rPr>
      <t>4.3</t>
    </r>
    <r>
      <rPr>
        <sz val="14"/>
        <color theme="1"/>
        <rFont val="Calibri"/>
        <family val="2"/>
        <scheme val="minor"/>
      </rPr>
      <t xml:space="preserve"> Water Quality (Requirement 3 - Water testing and remediation)</t>
    </r>
  </si>
  <si>
    <r>
      <rPr>
        <b/>
        <sz val="14"/>
        <color theme="1"/>
        <rFont val="Calibri"/>
        <family val="2"/>
        <scheme val="minor"/>
      </rPr>
      <t xml:space="preserve">4.4 </t>
    </r>
    <r>
      <rPr>
        <sz val="14"/>
        <color theme="1"/>
        <rFont val="Calibri"/>
        <family val="2"/>
        <scheme val="minor"/>
      </rPr>
      <t>Monitoring Water Consumption and Leaks</t>
    </r>
  </si>
  <si>
    <r>
      <rPr>
        <b/>
        <sz val="14"/>
        <color theme="1"/>
        <rFont val="Calibri"/>
        <family val="2"/>
        <scheme val="minor"/>
      </rPr>
      <t>4.4</t>
    </r>
    <r>
      <rPr>
        <sz val="14"/>
        <color theme="1"/>
        <rFont val="Calibri"/>
        <family val="2"/>
        <scheme val="minor"/>
      </rPr>
      <t xml:space="preserve"> Monitoring Water Consumption and Leaks 
(Option 2 - Pre-rehabilitation testing)</t>
    </r>
  </si>
  <si>
    <r>
      <rPr>
        <b/>
        <sz val="14"/>
        <color theme="1"/>
        <rFont val="Calibri"/>
        <family val="2"/>
        <scheme val="minor"/>
      </rPr>
      <t>4.4</t>
    </r>
    <r>
      <rPr>
        <sz val="14"/>
        <color theme="1"/>
        <rFont val="Calibri"/>
        <family val="2"/>
        <scheme val="minor"/>
      </rPr>
      <t xml:space="preserve"> Monitoring Water Consumption and Leaks 
(Option 2 - central recirculation or cooling towers)</t>
    </r>
  </si>
  <si>
    <r>
      <rPr>
        <b/>
        <sz val="14"/>
        <color theme="1"/>
        <rFont val="Calibri"/>
        <family val="2"/>
        <scheme val="minor"/>
      </rPr>
      <t>4.4</t>
    </r>
    <r>
      <rPr>
        <sz val="14"/>
        <color theme="1"/>
        <rFont val="Calibri"/>
        <family val="2"/>
        <scheme val="minor"/>
      </rPr>
      <t xml:space="preserve"> Monitoring Water Consumption and Leaks 
(Option 3 - cold water serving dwelling units)</t>
    </r>
  </si>
  <si>
    <r>
      <rPr>
        <b/>
        <sz val="14"/>
        <color theme="1"/>
        <rFont val="Calibri"/>
        <family val="2"/>
        <scheme val="minor"/>
      </rPr>
      <t>4.4</t>
    </r>
    <r>
      <rPr>
        <sz val="14"/>
        <color theme="1"/>
        <rFont val="Calibri"/>
        <family val="2"/>
        <scheme val="minor"/>
      </rPr>
      <t xml:space="preserve"> Monitoring Water Consumption and Leaks 
(Option 3 - other end uses)</t>
    </r>
  </si>
  <si>
    <r>
      <t xml:space="preserve">4.4 </t>
    </r>
    <r>
      <rPr>
        <sz val="14"/>
        <color theme="1"/>
        <rFont val="Calibri"/>
        <family val="2"/>
        <scheme val="minor"/>
      </rPr>
      <t>Separately metered common laundry</t>
    </r>
  </si>
  <si>
    <r>
      <t xml:space="preserve">4.4 </t>
    </r>
    <r>
      <rPr>
        <sz val="14"/>
        <color theme="1"/>
        <rFont val="Calibri"/>
        <family val="2"/>
        <scheme val="minor"/>
      </rPr>
      <t>Separately metered toilets</t>
    </r>
  </si>
  <si>
    <r>
      <t xml:space="preserve">4.4 </t>
    </r>
    <r>
      <rPr>
        <sz val="14"/>
        <color theme="1"/>
        <rFont val="Calibri"/>
        <family val="2"/>
        <scheme val="minor"/>
      </rPr>
      <t>Separately metered boiler makeup water</t>
    </r>
  </si>
  <si>
    <r>
      <t xml:space="preserve">4.4 </t>
    </r>
    <r>
      <rPr>
        <sz val="14"/>
        <color theme="1"/>
        <rFont val="Calibri"/>
        <family val="2"/>
        <scheme val="minor"/>
      </rPr>
      <t>Separately metered outdoor water consumption</t>
    </r>
  </si>
  <si>
    <r>
      <t xml:space="preserve">4.4 </t>
    </r>
    <r>
      <rPr>
        <sz val="14"/>
        <color theme="1"/>
        <rFont val="Calibri"/>
        <family val="2"/>
        <scheme val="minor"/>
      </rPr>
      <t>Separately metered water consumption in any nonresidential spaces within buildings</t>
    </r>
  </si>
  <si>
    <r>
      <rPr>
        <b/>
        <sz val="14"/>
        <color theme="1"/>
        <rFont val="Calibri"/>
        <family val="2"/>
        <scheme val="minor"/>
      </rPr>
      <t>4.5</t>
    </r>
    <r>
      <rPr>
        <sz val="14"/>
        <color theme="1"/>
        <rFont val="Calibri"/>
        <family val="2"/>
        <scheme val="minor"/>
      </rPr>
      <t xml:space="preserve"> Efficient Plumbing Layout and Design</t>
    </r>
  </si>
  <si>
    <r>
      <rPr>
        <b/>
        <sz val="14"/>
        <color theme="1"/>
        <rFont val="Calibri"/>
        <family val="2"/>
        <scheme val="minor"/>
      </rPr>
      <t xml:space="preserve">4.6 </t>
    </r>
    <r>
      <rPr>
        <sz val="14"/>
        <color theme="1"/>
        <rFont val="Calibri"/>
        <family val="2"/>
        <scheme val="minor"/>
      </rPr>
      <t>Indoor Water Efficiency: Nonpotable Water Reuse</t>
    </r>
  </si>
  <si>
    <r>
      <rPr>
        <b/>
        <sz val="14"/>
        <color theme="1"/>
        <rFont val="Calibri"/>
        <family val="2"/>
        <scheme val="minor"/>
      </rPr>
      <t xml:space="preserve">4.7 </t>
    </r>
    <r>
      <rPr>
        <sz val="14"/>
        <color theme="1"/>
        <rFont val="Calibri"/>
        <family val="2"/>
        <scheme val="minor"/>
      </rPr>
      <t>Access to Potable Water During Emergencies</t>
    </r>
  </si>
  <si>
    <r>
      <rPr>
        <b/>
        <sz val="14"/>
        <color theme="1"/>
        <rFont val="Calibri"/>
        <family val="2"/>
        <scheme val="minor"/>
      </rPr>
      <t>5.1</t>
    </r>
    <r>
      <rPr>
        <sz val="14"/>
        <color theme="1"/>
        <rFont val="Calibri"/>
        <family val="2"/>
        <scheme val="minor"/>
      </rPr>
      <t xml:space="preserve"> Energy Planning</t>
    </r>
  </si>
  <si>
    <r>
      <rPr>
        <b/>
        <sz val="14"/>
        <color theme="1"/>
        <rFont val="Calibri"/>
        <family val="2"/>
        <scheme val="minor"/>
      </rPr>
      <t>5.2a</t>
    </r>
    <r>
      <rPr>
        <sz val="14"/>
        <color theme="1"/>
        <rFont val="Calibri"/>
        <family val="2"/>
        <scheme val="minor"/>
      </rPr>
      <t xml:space="preserve"> Building Performance: New Construction</t>
    </r>
  </si>
  <si>
    <r>
      <rPr>
        <b/>
        <sz val="14"/>
        <color theme="1"/>
        <rFont val="Calibri"/>
        <family val="2"/>
        <scheme val="minor"/>
      </rPr>
      <t>5.2b</t>
    </r>
    <r>
      <rPr>
        <sz val="14"/>
        <color theme="1"/>
        <rFont val="Calibri"/>
        <family val="2"/>
        <scheme val="minor"/>
      </rPr>
      <t xml:space="preserve"> Building Performance: Rehabilitation (Compliance Option)</t>
    </r>
  </si>
  <si>
    <r>
      <rPr>
        <b/>
        <sz val="14"/>
        <color theme="1"/>
        <rFont val="Calibri"/>
        <family val="2"/>
        <scheme val="minor"/>
      </rPr>
      <t>5.2b</t>
    </r>
    <r>
      <rPr>
        <sz val="14"/>
        <color theme="1"/>
        <rFont val="Calibri"/>
        <family val="2"/>
        <scheme val="minor"/>
      </rPr>
      <t xml:space="preserve"> Building Performance: Rehabilitation (HVAC)</t>
    </r>
  </si>
  <si>
    <r>
      <rPr>
        <b/>
        <sz val="14"/>
        <color theme="1"/>
        <rFont val="Calibri"/>
        <family val="2"/>
        <scheme val="minor"/>
      </rPr>
      <t>5.2b</t>
    </r>
    <r>
      <rPr>
        <sz val="14"/>
        <color theme="1"/>
        <rFont val="Calibri"/>
        <family val="2"/>
        <scheme val="minor"/>
      </rPr>
      <t xml:space="preserve"> Building Performance: Rehabilitation (Infiltration)</t>
    </r>
  </si>
  <si>
    <r>
      <rPr>
        <b/>
        <sz val="14"/>
        <color theme="1"/>
        <rFont val="Calibri"/>
        <family val="2"/>
        <scheme val="minor"/>
      </rPr>
      <t>5.2b</t>
    </r>
    <r>
      <rPr>
        <sz val="14"/>
        <color theme="1"/>
        <rFont val="Calibri"/>
        <family val="2"/>
        <scheme val="minor"/>
      </rPr>
      <t xml:space="preserve"> Building Performance: Rehabilitation (Insulation)</t>
    </r>
  </si>
  <si>
    <r>
      <rPr>
        <b/>
        <sz val="14"/>
        <color theme="1"/>
        <rFont val="Calibri"/>
        <family val="2"/>
        <scheme val="minor"/>
      </rPr>
      <t xml:space="preserve">5.3 </t>
    </r>
    <r>
      <rPr>
        <sz val="14"/>
        <color theme="1"/>
        <rFont val="Calibri"/>
        <family val="2"/>
        <scheme val="minor"/>
      </rPr>
      <t>Advanced Building Performance</t>
    </r>
  </si>
  <si>
    <r>
      <rPr>
        <b/>
        <sz val="14"/>
        <color theme="1"/>
        <rFont val="Calibri"/>
        <family val="2"/>
        <scheme val="minor"/>
      </rPr>
      <t>5.4a</t>
    </r>
    <r>
      <rPr>
        <sz val="14"/>
        <color theme="1"/>
        <rFont val="Calibri"/>
        <family val="2"/>
        <scheme val="minor"/>
      </rPr>
      <t xml:space="preserve"> All-Electric and Electric-Ready Design: New Construction</t>
    </r>
  </si>
  <si>
    <r>
      <rPr>
        <b/>
        <sz val="14"/>
        <color theme="1"/>
        <rFont val="Calibri"/>
        <family val="2"/>
        <scheme val="minor"/>
      </rPr>
      <t>5.4a</t>
    </r>
    <r>
      <rPr>
        <sz val="14"/>
        <color theme="1"/>
        <rFont val="Calibri"/>
        <family val="2"/>
        <scheme val="minor"/>
      </rPr>
      <t xml:space="preserve"> All-Electric and Electric-Ready Design: New Construction (Water Heating)</t>
    </r>
  </si>
  <si>
    <r>
      <rPr>
        <b/>
        <sz val="14"/>
        <color theme="1"/>
        <rFont val="Calibri"/>
        <family val="2"/>
        <scheme val="minor"/>
      </rPr>
      <t xml:space="preserve">5.4b </t>
    </r>
    <r>
      <rPr>
        <sz val="14"/>
        <color theme="1"/>
        <rFont val="Calibri"/>
        <family val="2"/>
        <scheme val="minor"/>
      </rPr>
      <t>All-Electric and Electric-Ready Design: Rehabilitation</t>
    </r>
  </si>
  <si>
    <r>
      <rPr>
        <b/>
        <sz val="14"/>
        <color theme="1"/>
        <rFont val="Calibri"/>
        <family val="2"/>
        <scheme val="minor"/>
      </rPr>
      <t xml:space="preserve">5.4b </t>
    </r>
    <r>
      <rPr>
        <sz val="14"/>
        <color theme="1"/>
        <rFont val="Calibri"/>
        <family val="2"/>
        <scheme val="minor"/>
      </rPr>
      <t>All-Electric and Electric-Ready Design: Rehabilitation (Option 1)</t>
    </r>
  </si>
  <si>
    <r>
      <rPr>
        <b/>
        <sz val="14"/>
        <color theme="1"/>
        <rFont val="Calibri"/>
        <family val="2"/>
        <scheme val="minor"/>
      </rPr>
      <t xml:space="preserve">5.4b </t>
    </r>
    <r>
      <rPr>
        <sz val="14"/>
        <color theme="1"/>
        <rFont val="Calibri"/>
        <family val="2"/>
        <scheme val="minor"/>
      </rPr>
      <t>All-Electric and Electric-Ready Design: Rehabilitation (Option 1 - Water Heating)</t>
    </r>
  </si>
  <si>
    <r>
      <rPr>
        <b/>
        <sz val="14"/>
        <color theme="1"/>
        <rFont val="Calibri"/>
        <family val="2"/>
        <scheme val="minor"/>
      </rPr>
      <t>5.5</t>
    </r>
    <r>
      <rPr>
        <sz val="14"/>
        <color theme="1"/>
        <rFont val="Calibri"/>
        <family val="2"/>
        <scheme val="minor"/>
      </rPr>
      <t xml:space="preserve"> Peak Demand Control</t>
    </r>
  </si>
  <si>
    <r>
      <rPr>
        <b/>
        <sz val="14"/>
        <color theme="1"/>
        <rFont val="Calibri"/>
        <family val="2"/>
        <scheme val="minor"/>
      </rPr>
      <t>5.6</t>
    </r>
    <r>
      <rPr>
        <sz val="14"/>
        <color theme="1"/>
        <rFont val="Calibri"/>
        <family val="2"/>
        <scheme val="minor"/>
      </rPr>
      <t xml:space="preserve"> Backup Power</t>
    </r>
  </si>
  <si>
    <r>
      <rPr>
        <b/>
        <sz val="14"/>
        <color theme="1"/>
        <rFont val="Calibri"/>
        <family val="2"/>
        <scheme val="minor"/>
      </rPr>
      <t xml:space="preserve">5.7 </t>
    </r>
    <r>
      <rPr>
        <sz val="14"/>
        <color theme="1"/>
        <rFont val="Calibri"/>
        <family val="2"/>
        <scheme val="minor"/>
      </rPr>
      <t>Renewable Energy</t>
    </r>
  </si>
  <si>
    <r>
      <rPr>
        <b/>
        <sz val="14"/>
        <color theme="1"/>
        <rFont val="Calibri"/>
        <family val="2"/>
        <scheme val="minor"/>
      </rPr>
      <t xml:space="preserve">5.8 </t>
    </r>
    <r>
      <rPr>
        <sz val="14"/>
        <color theme="1"/>
        <rFont val="Calibri"/>
        <family val="2"/>
        <scheme val="minor"/>
      </rPr>
      <t>Electric Vehicle Charging - Mandatory</t>
    </r>
  </si>
  <si>
    <r>
      <rPr>
        <b/>
        <sz val="14"/>
        <color theme="1"/>
        <rFont val="Calibri"/>
        <family val="2"/>
        <scheme val="minor"/>
      </rPr>
      <t xml:space="preserve">5.8 </t>
    </r>
    <r>
      <rPr>
        <sz val="14"/>
        <color theme="1"/>
        <rFont val="Calibri"/>
        <family val="2"/>
        <scheme val="minor"/>
      </rPr>
      <t>Electric Vehicle Charging - Exceptions to Mandatory Requirement</t>
    </r>
  </si>
  <si>
    <r>
      <rPr>
        <b/>
        <sz val="14"/>
        <color theme="1"/>
        <rFont val="Calibri"/>
        <family val="2"/>
        <scheme val="minor"/>
      </rPr>
      <t xml:space="preserve">5.8 </t>
    </r>
    <r>
      <rPr>
        <sz val="14"/>
        <color theme="1"/>
        <rFont val="Calibri"/>
        <family val="2"/>
        <scheme val="minor"/>
      </rPr>
      <t>Electric Vehicle Charging - Optional</t>
    </r>
  </si>
  <si>
    <r>
      <rPr>
        <b/>
        <sz val="14"/>
        <color theme="1"/>
        <rFont val="Calibri"/>
        <family val="2"/>
        <scheme val="minor"/>
      </rPr>
      <t xml:space="preserve">5.8 </t>
    </r>
    <r>
      <rPr>
        <sz val="14"/>
        <color theme="1"/>
        <rFont val="Calibri"/>
        <family val="2"/>
        <scheme val="minor"/>
      </rPr>
      <t>Electric Vehicle Charging - ALMS</t>
    </r>
  </si>
  <si>
    <r>
      <rPr>
        <b/>
        <sz val="14"/>
        <color theme="1"/>
        <rFont val="Calibri"/>
        <family val="2"/>
        <scheme val="minor"/>
      </rPr>
      <t>5.9</t>
    </r>
    <r>
      <rPr>
        <sz val="14"/>
        <color theme="1"/>
        <rFont val="Calibri"/>
        <family val="2"/>
        <scheme val="minor"/>
      </rPr>
      <t xml:space="preserve"> Passive Survivability</t>
    </r>
  </si>
  <si>
    <r>
      <rPr>
        <b/>
        <sz val="14"/>
        <color theme="1"/>
        <rFont val="Calibri"/>
        <family val="2"/>
        <scheme val="minor"/>
      </rPr>
      <t>6.1</t>
    </r>
    <r>
      <rPr>
        <sz val="14"/>
        <color theme="1"/>
        <rFont val="Calibri"/>
        <family val="2"/>
        <scheme val="minor"/>
      </rPr>
      <t xml:space="preserve"> Product Category Screening</t>
    </r>
  </si>
  <si>
    <r>
      <rPr>
        <b/>
        <sz val="14"/>
        <color theme="1"/>
        <rFont val="Calibri"/>
        <family val="2"/>
        <scheme val="minor"/>
      </rPr>
      <t xml:space="preserve">6.2 </t>
    </r>
    <r>
      <rPr>
        <sz val="14"/>
        <color theme="1"/>
        <rFont val="Calibri"/>
        <family val="2"/>
        <scheme val="minor"/>
      </rPr>
      <t>Reduction of Materials and Waste - Strategy G 
(50% diversion)</t>
    </r>
  </si>
  <si>
    <r>
      <rPr>
        <b/>
        <sz val="14"/>
        <color theme="1"/>
        <rFont val="Calibri"/>
        <family val="2"/>
        <scheme val="minor"/>
      </rPr>
      <t xml:space="preserve">6.2 </t>
    </r>
    <r>
      <rPr>
        <sz val="14"/>
        <color theme="1"/>
        <rFont val="Calibri"/>
        <family val="2"/>
        <scheme val="minor"/>
      </rPr>
      <t>Reduction of Materials and Waste - Strategy H (Recycle)</t>
    </r>
  </si>
  <si>
    <r>
      <rPr>
        <b/>
        <sz val="14"/>
        <color theme="1"/>
        <rFont val="Calibri"/>
        <family val="2"/>
        <scheme val="minor"/>
      </rPr>
      <t xml:space="preserve">6.2 </t>
    </r>
    <r>
      <rPr>
        <sz val="14"/>
        <color theme="1"/>
        <rFont val="Calibri"/>
        <family val="2"/>
        <scheme val="minor"/>
      </rPr>
      <t>Reduction of Materials and Waste - Strategy I 
(End-of-use guidance)</t>
    </r>
  </si>
  <si>
    <r>
      <rPr>
        <b/>
        <sz val="14"/>
        <color theme="1"/>
        <rFont val="Calibri"/>
        <family val="2"/>
        <scheme val="minor"/>
      </rPr>
      <t xml:space="preserve">6.3 </t>
    </r>
    <r>
      <rPr>
        <sz val="14"/>
        <color theme="1"/>
        <rFont val="Calibri"/>
        <family val="2"/>
        <scheme val="minor"/>
      </rPr>
      <t>Reduction of Lead Hazards in Pre-1978 Buildings</t>
    </r>
  </si>
  <si>
    <r>
      <rPr>
        <b/>
        <sz val="14"/>
        <color theme="1"/>
        <rFont val="Calibri"/>
        <family val="2"/>
        <scheme val="minor"/>
      </rPr>
      <t>6.4</t>
    </r>
    <r>
      <rPr>
        <sz val="14"/>
        <color theme="1"/>
        <rFont val="Calibri"/>
        <family val="2"/>
        <scheme val="minor"/>
      </rPr>
      <t xml:space="preserve"> Advanced Material Selection - Adhesives</t>
    </r>
  </si>
  <si>
    <r>
      <rPr>
        <b/>
        <sz val="14"/>
        <color theme="1"/>
        <rFont val="Calibri"/>
        <family val="2"/>
        <scheme val="minor"/>
      </rPr>
      <t>6.4</t>
    </r>
    <r>
      <rPr>
        <sz val="14"/>
        <color theme="1"/>
        <rFont val="Calibri"/>
        <family val="2"/>
        <scheme val="minor"/>
      </rPr>
      <t xml:space="preserve"> Advanced Material Selection - Cladding</t>
    </r>
  </si>
  <si>
    <r>
      <rPr>
        <b/>
        <sz val="14"/>
        <color theme="1"/>
        <rFont val="Calibri"/>
        <family val="2"/>
        <scheme val="minor"/>
      </rPr>
      <t>6.4</t>
    </r>
    <r>
      <rPr>
        <sz val="14"/>
        <color theme="1"/>
        <rFont val="Calibri"/>
        <family val="2"/>
        <scheme val="minor"/>
      </rPr>
      <t xml:space="preserve"> Advanced Material Selection - Concrete</t>
    </r>
  </si>
  <si>
    <r>
      <rPr>
        <b/>
        <sz val="14"/>
        <color theme="1"/>
        <rFont val="Calibri"/>
        <family val="2"/>
        <scheme val="minor"/>
      </rPr>
      <t>6.4</t>
    </r>
    <r>
      <rPr>
        <sz val="14"/>
        <color theme="1"/>
        <rFont val="Calibri"/>
        <family val="2"/>
        <scheme val="minor"/>
      </rPr>
      <t xml:space="preserve"> Advanced Material Selection - Flooring</t>
    </r>
  </si>
  <si>
    <r>
      <rPr>
        <b/>
        <sz val="14"/>
        <color theme="1"/>
        <rFont val="Calibri"/>
        <family val="2"/>
        <scheme val="minor"/>
      </rPr>
      <t>6.4</t>
    </r>
    <r>
      <rPr>
        <sz val="14"/>
        <color theme="1"/>
        <rFont val="Calibri"/>
        <family val="2"/>
        <scheme val="minor"/>
      </rPr>
      <t xml:space="preserve"> Advanced Material Selection - Gypsum Wall</t>
    </r>
  </si>
  <si>
    <r>
      <rPr>
        <b/>
        <sz val="14"/>
        <color theme="1"/>
        <rFont val="Calibri"/>
        <family val="2"/>
        <scheme val="minor"/>
      </rPr>
      <t>6.4</t>
    </r>
    <r>
      <rPr>
        <sz val="14"/>
        <color theme="1"/>
        <rFont val="Calibri"/>
        <family val="2"/>
        <scheme val="minor"/>
      </rPr>
      <t xml:space="preserve"> Advanced Material Selection - Insulation</t>
    </r>
  </si>
  <si>
    <r>
      <rPr>
        <b/>
        <sz val="14"/>
        <color theme="1"/>
        <rFont val="Calibri"/>
        <family val="2"/>
        <scheme val="minor"/>
      </rPr>
      <t>6.4</t>
    </r>
    <r>
      <rPr>
        <sz val="14"/>
        <color theme="1"/>
        <rFont val="Calibri"/>
        <family val="2"/>
        <scheme val="minor"/>
      </rPr>
      <t xml:space="preserve"> Advanced Material Selection - Paint/coatings</t>
    </r>
  </si>
  <si>
    <r>
      <rPr>
        <b/>
        <sz val="14"/>
        <color theme="1"/>
        <rFont val="Calibri"/>
        <family val="2"/>
        <scheme val="minor"/>
      </rPr>
      <t>6.4</t>
    </r>
    <r>
      <rPr>
        <sz val="14"/>
        <color theme="1"/>
        <rFont val="Calibri"/>
        <family val="2"/>
        <scheme val="minor"/>
      </rPr>
      <t xml:space="preserve"> Advanced Material Selection - Steel</t>
    </r>
  </si>
  <si>
    <r>
      <rPr>
        <b/>
        <sz val="14"/>
        <color theme="1"/>
        <rFont val="Calibri"/>
        <family val="2"/>
        <scheme val="minor"/>
      </rPr>
      <t>6.4</t>
    </r>
    <r>
      <rPr>
        <sz val="14"/>
        <color theme="1"/>
        <rFont val="Calibri"/>
        <family val="2"/>
        <scheme val="minor"/>
      </rPr>
      <t xml:space="preserve"> Advanced Material Selection - Wall coverings</t>
    </r>
  </si>
  <si>
    <r>
      <rPr>
        <b/>
        <sz val="14"/>
        <color theme="1"/>
        <rFont val="Calibri"/>
        <family val="2"/>
        <scheme val="minor"/>
      </rPr>
      <t>6.4</t>
    </r>
    <r>
      <rPr>
        <sz val="14"/>
        <color theme="1"/>
        <rFont val="Calibri"/>
        <family val="2"/>
        <scheme val="minor"/>
      </rPr>
      <t xml:space="preserve"> Advanced Material Selection - Wood, composite</t>
    </r>
  </si>
  <si>
    <r>
      <rPr>
        <b/>
        <sz val="14"/>
        <color theme="1"/>
        <rFont val="Calibri"/>
        <family val="2"/>
        <scheme val="minor"/>
      </rPr>
      <t>6.4</t>
    </r>
    <r>
      <rPr>
        <sz val="14"/>
        <color theme="1"/>
        <rFont val="Calibri"/>
        <family val="2"/>
        <scheme val="minor"/>
      </rPr>
      <t xml:space="preserve"> Advanced Material Selection - Wood, noncomposite</t>
    </r>
  </si>
  <si>
    <r>
      <rPr>
        <b/>
        <sz val="14"/>
        <color theme="1"/>
        <rFont val="Calibri"/>
        <family val="2"/>
        <scheme val="minor"/>
      </rPr>
      <t>6.5</t>
    </r>
    <r>
      <rPr>
        <sz val="14"/>
        <color theme="1"/>
        <rFont val="Calibri"/>
        <family val="2"/>
        <scheme val="minor"/>
      </rPr>
      <t xml:space="preserve"> Recycling Storage</t>
    </r>
  </si>
  <si>
    <r>
      <rPr>
        <b/>
        <sz val="14"/>
        <color theme="1"/>
        <rFont val="Calibri"/>
        <family val="2"/>
        <scheme val="minor"/>
      </rPr>
      <t>7.1</t>
    </r>
    <r>
      <rPr>
        <sz val="14"/>
        <color theme="1"/>
        <rFont val="Calibri"/>
        <family val="2"/>
        <scheme val="minor"/>
      </rPr>
      <t xml:space="preserve"> Clean Air: Radon Testing and Mitigation</t>
    </r>
  </si>
  <si>
    <r>
      <rPr>
        <b/>
        <sz val="14"/>
        <color theme="1"/>
        <rFont val="Calibri"/>
        <family val="2"/>
        <scheme val="minor"/>
      </rPr>
      <t>7.2</t>
    </r>
    <r>
      <rPr>
        <sz val="14"/>
        <color theme="1"/>
        <rFont val="Calibri"/>
        <family val="2"/>
        <scheme val="minor"/>
      </rPr>
      <t xml:space="preserve"> Clean Air: Combustion Equipment</t>
    </r>
  </si>
  <si>
    <r>
      <rPr>
        <b/>
        <sz val="14"/>
        <color theme="1"/>
        <rFont val="Calibri"/>
        <family val="2"/>
        <scheme val="minor"/>
      </rPr>
      <t>7.2</t>
    </r>
    <r>
      <rPr>
        <sz val="14"/>
        <color theme="1"/>
        <rFont val="Calibri"/>
        <family val="2"/>
        <scheme val="minor"/>
      </rPr>
      <t xml:space="preserve"> Clean Air: Combustion Equipment - Rehabs</t>
    </r>
  </si>
  <si>
    <r>
      <rPr>
        <b/>
        <sz val="14"/>
        <color theme="1"/>
        <rFont val="Calibri"/>
        <family val="2"/>
        <scheme val="minor"/>
      </rPr>
      <t>7.3</t>
    </r>
    <r>
      <rPr>
        <sz val="14"/>
        <color theme="1"/>
        <rFont val="Calibri"/>
        <family val="2"/>
        <scheme val="minor"/>
      </rPr>
      <t xml:space="preserve"> Clean Air: Garage Isolation and Vehicle Pollution Management</t>
    </r>
  </si>
  <si>
    <r>
      <rPr>
        <b/>
        <sz val="14"/>
        <color theme="1"/>
        <rFont val="Calibri"/>
        <family val="2"/>
        <scheme val="minor"/>
      </rPr>
      <t>7.4</t>
    </r>
    <r>
      <rPr>
        <sz val="14"/>
        <color theme="1"/>
        <rFont val="Calibri"/>
        <family val="2"/>
        <scheme val="minor"/>
      </rPr>
      <t xml:space="preserve"> Clean Air: Smoke-Free Policy</t>
    </r>
  </si>
  <si>
    <r>
      <rPr>
        <b/>
        <sz val="14"/>
        <color theme="1"/>
        <rFont val="Calibri"/>
        <family val="2"/>
        <scheme val="minor"/>
      </rPr>
      <t>7.5</t>
    </r>
    <r>
      <rPr>
        <sz val="14"/>
        <color theme="1"/>
        <rFont val="Calibri"/>
        <family val="2"/>
        <scheme val="minor"/>
      </rPr>
      <t xml:space="preserve"> Clean Air: Ventilation</t>
    </r>
  </si>
  <si>
    <r>
      <rPr>
        <b/>
        <sz val="14"/>
        <color theme="1"/>
        <rFont val="Calibri"/>
        <family val="2"/>
        <scheme val="minor"/>
      </rPr>
      <t>7.5</t>
    </r>
    <r>
      <rPr>
        <sz val="14"/>
        <color theme="1"/>
        <rFont val="Calibri"/>
        <family val="2"/>
        <scheme val="minor"/>
      </rPr>
      <t xml:space="preserve"> Clean Air: Ventilation - Moderate rehabs</t>
    </r>
  </si>
  <si>
    <r>
      <rPr>
        <b/>
        <sz val="14"/>
        <color theme="1"/>
        <rFont val="Calibri"/>
        <family val="2"/>
        <scheme val="minor"/>
      </rPr>
      <t>7.5</t>
    </r>
    <r>
      <rPr>
        <sz val="14"/>
        <color theme="1"/>
        <rFont val="Calibri"/>
        <family val="2"/>
        <scheme val="minor"/>
      </rPr>
      <t xml:space="preserve"> Clean Air: Ventilation - Moderate rehabs, 4+ stories</t>
    </r>
  </si>
  <si>
    <r>
      <rPr>
        <b/>
        <sz val="14"/>
        <color theme="1"/>
        <rFont val="Calibri"/>
        <family val="2"/>
        <scheme val="minor"/>
      </rPr>
      <t>7.6</t>
    </r>
    <r>
      <rPr>
        <sz val="14"/>
        <color theme="1"/>
        <rFont val="Calibri"/>
        <family val="2"/>
        <scheme val="minor"/>
      </rPr>
      <t xml:space="preserve"> Clean Air: Indoor Air Filtration</t>
    </r>
  </si>
  <si>
    <r>
      <rPr>
        <b/>
        <sz val="14"/>
        <color theme="1"/>
        <rFont val="Calibri"/>
        <family val="2"/>
        <scheme val="minor"/>
      </rPr>
      <t xml:space="preserve">7.7 </t>
    </r>
    <r>
      <rPr>
        <sz val="14"/>
        <color theme="1"/>
        <rFont val="Calibri"/>
        <family val="2"/>
        <scheme val="minor"/>
      </rPr>
      <t>Clean Air: Enhanced IAQ</t>
    </r>
  </si>
  <si>
    <r>
      <rPr>
        <b/>
        <sz val="14"/>
        <color theme="1"/>
        <rFont val="Calibri"/>
        <family val="2"/>
        <scheme val="minor"/>
      </rPr>
      <t>7.8</t>
    </r>
    <r>
      <rPr>
        <sz val="14"/>
        <color theme="1"/>
        <rFont val="Calibri"/>
        <family val="2"/>
        <scheme val="minor"/>
      </rPr>
      <t xml:space="preserve"> Managing Moisture: Dehumidification - Mandatory</t>
    </r>
  </si>
  <si>
    <r>
      <rPr>
        <b/>
        <sz val="14"/>
        <color theme="1"/>
        <rFont val="Calibri"/>
        <family val="2"/>
        <scheme val="minor"/>
      </rPr>
      <t>7.8</t>
    </r>
    <r>
      <rPr>
        <sz val="14"/>
        <color theme="1"/>
        <rFont val="Calibri"/>
        <family val="2"/>
        <scheme val="minor"/>
      </rPr>
      <t xml:space="preserve"> Managing Moisture: Dehumidification - Optional</t>
    </r>
  </si>
  <si>
    <r>
      <rPr>
        <b/>
        <sz val="14"/>
        <color theme="1"/>
        <rFont val="Calibri"/>
        <family val="2"/>
        <scheme val="minor"/>
      </rPr>
      <t xml:space="preserve">7.9a </t>
    </r>
    <r>
      <rPr>
        <sz val="14"/>
        <color theme="1"/>
        <rFont val="Calibri"/>
        <family val="2"/>
        <scheme val="minor"/>
      </rPr>
      <t>Managing Moisture in the Building Enclosure: New Construction</t>
    </r>
  </si>
  <si>
    <r>
      <rPr>
        <b/>
        <sz val="14"/>
        <color theme="1"/>
        <rFont val="Calibri"/>
        <family val="2"/>
        <scheme val="minor"/>
      </rPr>
      <t>7.9b</t>
    </r>
    <r>
      <rPr>
        <sz val="14"/>
        <color theme="1"/>
        <rFont val="Calibri"/>
        <family val="2"/>
        <scheme val="minor"/>
      </rPr>
      <t xml:space="preserve"> Managing Moisture in the Building Enclosure: Rehabilitation</t>
    </r>
  </si>
  <si>
    <r>
      <rPr>
        <b/>
        <sz val="14"/>
        <color theme="1"/>
        <rFont val="Calibri"/>
        <family val="2"/>
        <scheme val="minor"/>
      </rPr>
      <t xml:space="preserve">7.10 </t>
    </r>
    <r>
      <rPr>
        <sz val="14"/>
        <color theme="1"/>
        <rFont val="Calibri"/>
        <family val="2"/>
        <scheme val="minor"/>
      </rPr>
      <t>Managing Moisture: Bath, Kitchen, and Laundry Assemblies</t>
    </r>
  </si>
  <si>
    <r>
      <rPr>
        <b/>
        <sz val="14"/>
        <color theme="1"/>
        <rFont val="Calibri"/>
        <family val="2"/>
        <scheme val="minor"/>
      </rPr>
      <t xml:space="preserve">7.10 </t>
    </r>
    <r>
      <rPr>
        <sz val="14"/>
        <color theme="1"/>
        <rFont val="Calibri"/>
        <family val="2"/>
        <scheme val="minor"/>
      </rPr>
      <t>Managing Moisture: Bath, Kitchen, and Laundry Assemblies - Moderate Rehab</t>
    </r>
  </si>
  <si>
    <r>
      <rPr>
        <b/>
        <sz val="14"/>
        <color theme="1"/>
        <rFont val="Calibri"/>
        <family val="2"/>
        <scheme val="minor"/>
      </rPr>
      <t>7.11</t>
    </r>
    <r>
      <rPr>
        <sz val="14"/>
        <color theme="1"/>
        <rFont val="Calibri"/>
        <family val="2"/>
        <scheme val="minor"/>
      </rPr>
      <t xml:space="preserve"> Reducing Allergens and Disease Vectors: Integrated Pest Management</t>
    </r>
  </si>
  <si>
    <r>
      <rPr>
        <b/>
        <sz val="14"/>
        <color theme="1"/>
        <rFont val="Calibri"/>
        <family val="2"/>
        <scheme val="minor"/>
      </rPr>
      <t>7.12a</t>
    </r>
    <r>
      <rPr>
        <sz val="14"/>
        <color theme="1"/>
        <rFont val="Calibri"/>
        <family val="2"/>
        <scheme val="minor"/>
      </rPr>
      <t xml:space="preserve"> Sensory and Rest Friendly: Noise Reduction, New Construction</t>
    </r>
  </si>
  <si>
    <r>
      <rPr>
        <b/>
        <sz val="14"/>
        <color theme="1"/>
        <rFont val="Calibri"/>
        <family val="2"/>
        <scheme val="minor"/>
      </rPr>
      <t>7.12b</t>
    </r>
    <r>
      <rPr>
        <sz val="14"/>
        <color theme="1"/>
        <rFont val="Calibri"/>
        <family val="2"/>
        <scheme val="minor"/>
      </rPr>
      <t xml:space="preserve"> Sensory and Rest Friendly: Noise Reduction, Rehabilitation</t>
    </r>
  </si>
  <si>
    <r>
      <rPr>
        <b/>
        <sz val="14"/>
        <color theme="1"/>
        <rFont val="Calibri"/>
        <family val="2"/>
        <scheme val="minor"/>
      </rPr>
      <t>7.13</t>
    </r>
    <r>
      <rPr>
        <sz val="14"/>
        <color theme="1"/>
        <rFont val="Calibri"/>
        <family val="2"/>
        <scheme val="minor"/>
      </rPr>
      <t xml:space="preserve"> Strategy A (Reduce Blind Corners)</t>
    </r>
  </si>
  <si>
    <r>
      <rPr>
        <b/>
        <sz val="14"/>
        <color theme="1"/>
        <rFont val="Calibri"/>
        <family val="2"/>
        <scheme val="minor"/>
      </rPr>
      <t xml:space="preserve">7.13 </t>
    </r>
    <r>
      <rPr>
        <sz val="14"/>
        <color theme="1"/>
        <rFont val="Calibri"/>
        <family val="2"/>
        <scheme val="minor"/>
      </rPr>
      <t>Strategy B (Peepholes/windows)</t>
    </r>
  </si>
  <si>
    <r>
      <rPr>
        <b/>
        <sz val="14"/>
        <color theme="1"/>
        <rFont val="Calibri"/>
        <family val="2"/>
        <scheme val="minor"/>
      </rPr>
      <t>7.13</t>
    </r>
    <r>
      <rPr>
        <sz val="14"/>
        <color theme="1"/>
        <rFont val="Calibri"/>
        <family val="2"/>
        <scheme val="minor"/>
      </rPr>
      <t xml:space="preserve"> Strategy C (Stagger entry doors)</t>
    </r>
  </si>
  <si>
    <r>
      <rPr>
        <b/>
        <sz val="14"/>
        <color theme="1"/>
        <rFont val="Calibri"/>
        <family val="2"/>
        <scheme val="minor"/>
      </rPr>
      <t xml:space="preserve">7.13 </t>
    </r>
    <r>
      <rPr>
        <sz val="14"/>
        <color theme="1"/>
        <rFont val="Calibri"/>
        <family val="2"/>
        <scheme val="minor"/>
      </rPr>
      <t>Strategy D (Secure site access)</t>
    </r>
  </si>
  <si>
    <r>
      <rPr>
        <b/>
        <sz val="14"/>
        <color theme="1"/>
        <rFont val="Calibri"/>
        <family val="2"/>
        <scheme val="minor"/>
      </rPr>
      <t xml:space="preserve">7.13 </t>
    </r>
    <r>
      <rPr>
        <sz val="14"/>
        <color theme="1"/>
        <rFont val="Calibri"/>
        <family val="2"/>
        <scheme val="minor"/>
      </rPr>
      <t>Strategy E (Landscaping promotes safety)</t>
    </r>
  </si>
  <si>
    <r>
      <rPr>
        <b/>
        <sz val="14"/>
        <color theme="1"/>
        <rFont val="Calibri"/>
        <family val="2"/>
        <scheme val="minor"/>
      </rPr>
      <t>7.13</t>
    </r>
    <r>
      <rPr>
        <sz val="14"/>
        <color theme="1"/>
        <rFont val="Calibri"/>
        <family val="2"/>
        <scheme val="minor"/>
      </rPr>
      <t xml:space="preserve"> Strategy F (Personal environment controls)</t>
    </r>
  </si>
  <si>
    <r>
      <rPr>
        <b/>
        <sz val="14"/>
        <color theme="1"/>
        <rFont val="Calibri"/>
        <family val="2"/>
        <scheme val="minor"/>
      </rPr>
      <t>7.13</t>
    </r>
    <r>
      <rPr>
        <sz val="14"/>
        <color theme="1"/>
        <rFont val="Calibri"/>
        <family val="2"/>
        <scheme val="minor"/>
      </rPr>
      <t xml:space="preserve"> Strategy G (Locked storage)</t>
    </r>
  </si>
  <si>
    <r>
      <rPr>
        <b/>
        <sz val="14"/>
        <color theme="1"/>
        <rFont val="Calibri"/>
        <family val="2"/>
        <scheme val="minor"/>
      </rPr>
      <t>7.13</t>
    </r>
    <r>
      <rPr>
        <sz val="14"/>
        <color theme="1"/>
        <rFont val="Calibri"/>
        <family val="2"/>
        <scheme val="minor"/>
      </rPr>
      <t xml:space="preserve">  Strategy H (On-site resources)</t>
    </r>
  </si>
  <si>
    <r>
      <rPr>
        <b/>
        <sz val="14"/>
        <color theme="1"/>
        <rFont val="Calibri"/>
        <family val="2"/>
        <scheme val="minor"/>
      </rPr>
      <t>7.13</t>
    </r>
    <r>
      <rPr>
        <sz val="14"/>
        <color theme="1"/>
        <rFont val="Calibri"/>
        <family val="2"/>
        <scheme val="minor"/>
      </rPr>
      <t xml:space="preserve"> Strategy I (Mail/package area)</t>
    </r>
  </si>
  <si>
    <r>
      <rPr>
        <b/>
        <sz val="14"/>
        <color theme="1"/>
        <rFont val="Calibri"/>
        <family val="2"/>
        <scheme val="minor"/>
      </rPr>
      <t>7.14</t>
    </r>
    <r>
      <rPr>
        <sz val="14"/>
        <color theme="1"/>
        <rFont val="Calibri"/>
        <family val="2"/>
        <scheme val="minor"/>
      </rPr>
      <t xml:space="preserve"> Strategy A (Wayfinding signage)</t>
    </r>
  </si>
  <si>
    <r>
      <rPr>
        <b/>
        <sz val="14"/>
        <color theme="1"/>
        <rFont val="Calibri"/>
        <family val="2"/>
        <scheme val="minor"/>
      </rPr>
      <t xml:space="preserve">7.14 </t>
    </r>
    <r>
      <rPr>
        <sz val="14"/>
        <color theme="1"/>
        <rFont val="Calibri"/>
        <family val="2"/>
        <scheme val="minor"/>
      </rPr>
      <t>Strategy B (Subtle floor finishes)</t>
    </r>
  </si>
  <si>
    <r>
      <rPr>
        <b/>
        <sz val="14"/>
        <color theme="1"/>
        <rFont val="Calibri"/>
        <family val="2"/>
        <scheme val="minor"/>
      </rPr>
      <t>7.14</t>
    </r>
    <r>
      <rPr>
        <sz val="14"/>
        <color theme="1"/>
        <rFont val="Calibri"/>
        <family val="2"/>
        <scheme val="minor"/>
      </rPr>
      <t xml:space="preserve"> Strategy C (Light switch requirements)</t>
    </r>
  </si>
  <si>
    <r>
      <rPr>
        <b/>
        <sz val="14"/>
        <color theme="1"/>
        <rFont val="Calibri"/>
        <family val="2"/>
        <scheme val="minor"/>
      </rPr>
      <t>7.14</t>
    </r>
    <r>
      <rPr>
        <sz val="14"/>
        <color theme="1"/>
        <rFont val="Calibri"/>
        <family val="2"/>
        <scheme val="minor"/>
      </rPr>
      <t xml:space="preserve"> Strategy D (Seating in common spaces)</t>
    </r>
  </si>
  <si>
    <r>
      <rPr>
        <b/>
        <sz val="14"/>
        <color theme="1"/>
        <rFont val="Calibri"/>
        <family val="2"/>
        <scheme val="minor"/>
      </rPr>
      <t xml:space="preserve">7.14 </t>
    </r>
    <r>
      <rPr>
        <sz val="14"/>
        <color theme="1"/>
        <rFont val="Calibri"/>
        <family val="2"/>
        <scheme val="minor"/>
      </rPr>
      <t>Strategy E (Microcommunities)</t>
    </r>
  </si>
  <si>
    <r>
      <rPr>
        <b/>
        <sz val="14"/>
        <color theme="1"/>
        <rFont val="Calibri"/>
        <family val="2"/>
        <scheme val="minor"/>
      </rPr>
      <t xml:space="preserve">7.14 </t>
    </r>
    <r>
      <rPr>
        <sz val="14"/>
        <color theme="1"/>
        <rFont val="Calibri"/>
        <family val="2"/>
        <scheme val="minor"/>
      </rPr>
      <t>Strategy F (Accessible restroom)</t>
    </r>
  </si>
  <si>
    <r>
      <rPr>
        <b/>
        <sz val="14"/>
        <color theme="1"/>
        <rFont val="Calibri"/>
        <family val="2"/>
        <scheme val="minor"/>
      </rPr>
      <t>7.14</t>
    </r>
    <r>
      <rPr>
        <sz val="14"/>
        <color theme="1"/>
        <rFont val="Calibri"/>
        <family val="2"/>
        <scheme val="minor"/>
      </rPr>
      <t xml:space="preserve"> Strategy G (Essential amenities)</t>
    </r>
  </si>
  <si>
    <r>
      <rPr>
        <b/>
        <sz val="14"/>
        <color theme="1"/>
        <rFont val="Calibri"/>
        <family val="2"/>
        <scheme val="minor"/>
      </rPr>
      <t>7.14</t>
    </r>
    <r>
      <rPr>
        <sz val="14"/>
        <color theme="1"/>
        <rFont val="Calibri"/>
        <family val="2"/>
        <scheme val="minor"/>
      </rPr>
      <t xml:space="preserve"> Strategy H (Slip-resistant floors)</t>
    </r>
  </si>
  <si>
    <r>
      <rPr>
        <b/>
        <sz val="14"/>
        <color theme="1"/>
        <rFont val="Calibri"/>
        <family val="2"/>
        <scheme val="minor"/>
      </rPr>
      <t>7.14</t>
    </r>
    <r>
      <rPr>
        <sz val="14"/>
        <color theme="1"/>
        <rFont val="Calibri"/>
        <family val="2"/>
        <scheme val="minor"/>
      </rPr>
      <t xml:space="preserve"> Strategy I (Grab bars)</t>
    </r>
  </si>
  <si>
    <r>
      <rPr>
        <b/>
        <sz val="14"/>
        <color theme="1"/>
        <rFont val="Calibri"/>
        <family val="2"/>
        <scheme val="minor"/>
      </rPr>
      <t>7.14</t>
    </r>
    <r>
      <rPr>
        <sz val="14"/>
        <color theme="1"/>
        <rFont val="Calibri"/>
        <family val="2"/>
        <scheme val="minor"/>
      </rPr>
      <t xml:space="preserve"> Strategy J (Thermostatic faucets)</t>
    </r>
  </si>
  <si>
    <r>
      <rPr>
        <b/>
        <sz val="14"/>
        <color theme="1"/>
        <rFont val="Calibri"/>
        <family val="2"/>
        <scheme val="minor"/>
      </rPr>
      <t>7.14</t>
    </r>
    <r>
      <rPr>
        <sz val="14"/>
        <color theme="1"/>
        <rFont val="Calibri"/>
        <family val="2"/>
        <scheme val="minor"/>
      </rPr>
      <t xml:space="preserve"> Strategy K (Accessible thresholds)</t>
    </r>
  </si>
  <si>
    <r>
      <rPr>
        <b/>
        <sz val="14"/>
        <color theme="1"/>
        <rFont val="Calibri"/>
        <family val="2"/>
        <scheme val="minor"/>
      </rPr>
      <t xml:space="preserve">7.14 </t>
    </r>
    <r>
      <rPr>
        <sz val="14"/>
        <color theme="1"/>
        <rFont val="Calibri"/>
        <family val="2"/>
        <scheme val="minor"/>
      </rPr>
      <t>Strategy L (Handles and controls)</t>
    </r>
  </si>
  <si>
    <r>
      <rPr>
        <b/>
        <sz val="14"/>
        <color theme="1"/>
        <rFont val="Calibri"/>
        <family val="2"/>
        <scheme val="minor"/>
      </rPr>
      <t>7.14</t>
    </r>
    <r>
      <rPr>
        <sz val="14"/>
        <color theme="1"/>
        <rFont val="Calibri"/>
        <family val="2"/>
        <scheme val="minor"/>
      </rPr>
      <t xml:space="preserve"> Strategy M (42-inch hallways)</t>
    </r>
  </si>
  <si>
    <r>
      <rPr>
        <b/>
        <sz val="14"/>
        <color theme="1"/>
        <rFont val="Calibri"/>
        <family val="2"/>
        <scheme val="minor"/>
      </rPr>
      <t xml:space="preserve">7.14 </t>
    </r>
    <r>
      <rPr>
        <sz val="14"/>
        <color theme="1"/>
        <rFont val="Calibri"/>
        <family val="2"/>
        <scheme val="minor"/>
      </rPr>
      <t>Strategy N (Doorway width)</t>
    </r>
  </si>
  <si>
    <r>
      <rPr>
        <b/>
        <sz val="14"/>
        <color theme="1"/>
        <rFont val="Calibri"/>
        <family val="2"/>
        <scheme val="minor"/>
      </rPr>
      <t>7.14</t>
    </r>
    <r>
      <rPr>
        <sz val="14"/>
        <color theme="1"/>
        <rFont val="Calibri"/>
        <family val="2"/>
        <scheme val="minor"/>
      </rPr>
      <t xml:space="preserve"> Strategy O (Turning radius of 5 feet)</t>
    </r>
  </si>
  <si>
    <r>
      <rPr>
        <b/>
        <sz val="14"/>
        <color theme="1"/>
        <rFont val="Calibri"/>
        <family val="2"/>
        <scheme val="minor"/>
      </rPr>
      <t>7.14</t>
    </r>
    <r>
      <rPr>
        <sz val="14"/>
        <color theme="1"/>
        <rFont val="Calibri"/>
        <family val="2"/>
        <scheme val="minor"/>
      </rPr>
      <t xml:space="preserve"> Strategy P (Mobility equipment storage)</t>
    </r>
  </si>
  <si>
    <r>
      <rPr>
        <b/>
        <sz val="14"/>
        <color theme="1"/>
        <rFont val="Calibri"/>
        <family val="2"/>
        <scheme val="minor"/>
      </rPr>
      <t>7.15</t>
    </r>
    <r>
      <rPr>
        <sz val="14"/>
        <color theme="1"/>
        <rFont val="Calibri"/>
        <family val="2"/>
        <scheme val="minor"/>
      </rPr>
      <t xml:space="preserve"> Access to Nature and Biophilic Design</t>
    </r>
  </si>
  <si>
    <r>
      <rPr>
        <b/>
        <sz val="14"/>
        <color theme="1"/>
        <rFont val="Calibri"/>
        <family val="2"/>
        <scheme val="minor"/>
      </rPr>
      <t>7.15</t>
    </r>
    <r>
      <rPr>
        <sz val="14"/>
        <color theme="1"/>
        <rFont val="Calibri"/>
        <family val="2"/>
        <scheme val="minor"/>
      </rPr>
      <t>: Direct physical connection to outdoor space</t>
    </r>
  </si>
  <si>
    <r>
      <rPr>
        <b/>
        <sz val="14"/>
        <color theme="1"/>
        <rFont val="Calibri"/>
        <family val="2"/>
        <scheme val="minor"/>
      </rPr>
      <t>7.15</t>
    </r>
    <r>
      <rPr>
        <sz val="14"/>
        <color theme="1"/>
        <rFont val="Calibri"/>
        <family val="2"/>
        <scheme val="minor"/>
      </rPr>
      <t>: Biophilic design features</t>
    </r>
  </si>
  <si>
    <r>
      <rPr>
        <b/>
        <sz val="14"/>
        <color theme="1"/>
        <rFont val="Calibri"/>
        <family val="2"/>
        <scheme val="minor"/>
      </rPr>
      <t>7.15</t>
    </r>
    <r>
      <rPr>
        <sz val="14"/>
        <color theme="1"/>
        <rFont val="Calibri"/>
        <family val="2"/>
        <scheme val="minor"/>
      </rPr>
      <t>: Tunable circadian lighting systems</t>
    </r>
  </si>
  <si>
    <r>
      <rPr>
        <b/>
        <sz val="14"/>
        <color theme="1"/>
        <rFont val="Calibri"/>
        <family val="2"/>
        <scheme val="minor"/>
      </rPr>
      <t>7.15</t>
    </r>
    <r>
      <rPr>
        <sz val="14"/>
        <color theme="1"/>
        <rFont val="Calibri"/>
        <family val="2"/>
        <scheme val="minor"/>
      </rPr>
      <t>: Views of landscapes</t>
    </r>
  </si>
  <si>
    <r>
      <rPr>
        <b/>
        <sz val="14"/>
        <color theme="1"/>
        <rFont val="Calibri"/>
        <family val="2"/>
        <scheme val="minor"/>
      </rPr>
      <t>7.15</t>
    </r>
    <r>
      <rPr>
        <sz val="14"/>
        <color theme="1"/>
        <rFont val="Calibri"/>
        <family val="2"/>
        <scheme val="minor"/>
      </rPr>
      <t>: Usable outdoor spaces</t>
    </r>
  </si>
  <si>
    <r>
      <rPr>
        <b/>
        <sz val="14"/>
        <color theme="1"/>
        <rFont val="Calibri"/>
        <family val="2"/>
        <scheme val="minor"/>
      </rPr>
      <t>7.15</t>
    </r>
    <r>
      <rPr>
        <sz val="14"/>
        <color theme="1"/>
        <rFont val="Calibri"/>
        <family val="2"/>
        <scheme val="minor"/>
      </rPr>
      <t>: Interaction with plants</t>
    </r>
  </si>
  <si>
    <r>
      <rPr>
        <b/>
        <sz val="14"/>
        <color theme="1"/>
        <rFont val="Calibri"/>
        <family val="2"/>
        <scheme val="minor"/>
      </rPr>
      <t>7.15</t>
    </r>
    <r>
      <rPr>
        <sz val="14"/>
        <color theme="1"/>
        <rFont val="Calibri"/>
        <family val="2"/>
        <scheme val="minor"/>
      </rPr>
      <t>: Fauna-supporting features</t>
    </r>
  </si>
  <si>
    <r>
      <rPr>
        <b/>
        <sz val="14"/>
        <color theme="1"/>
        <rFont val="Calibri"/>
        <family val="2"/>
        <scheme val="minor"/>
      </rPr>
      <t>7.15</t>
    </r>
    <r>
      <rPr>
        <sz val="14"/>
        <color theme="1"/>
        <rFont val="Calibri"/>
        <family val="2"/>
        <scheme val="minor"/>
      </rPr>
      <t>: Water features</t>
    </r>
  </si>
  <si>
    <r>
      <rPr>
        <b/>
        <sz val="14"/>
        <color theme="1"/>
        <rFont val="Calibri"/>
        <family val="2"/>
        <scheme val="minor"/>
      </rPr>
      <t>7.15</t>
    </r>
    <r>
      <rPr>
        <sz val="14"/>
        <color theme="1"/>
        <rFont val="Calibri"/>
        <family val="2"/>
        <scheme val="minor"/>
      </rPr>
      <t>: Pet-friendly areas</t>
    </r>
  </si>
  <si>
    <r>
      <rPr>
        <b/>
        <sz val="14"/>
        <color theme="1"/>
        <rFont val="Calibri"/>
        <family val="2"/>
        <scheme val="minor"/>
      </rPr>
      <t>7.16</t>
    </r>
    <r>
      <rPr>
        <sz val="14"/>
        <color theme="1"/>
        <rFont val="Calibri"/>
        <family val="2"/>
        <scheme val="minor"/>
      </rPr>
      <t xml:space="preserve"> Healing-Centered and Culturally Responsive Design</t>
    </r>
  </si>
  <si>
    <r>
      <rPr>
        <b/>
        <sz val="14"/>
        <color theme="1"/>
        <rFont val="Calibri"/>
        <family val="2"/>
        <scheme val="minor"/>
      </rPr>
      <t>7.17</t>
    </r>
    <r>
      <rPr>
        <sz val="14"/>
        <color theme="1"/>
        <rFont val="Calibri"/>
        <family val="2"/>
        <scheme val="minor"/>
      </rPr>
      <t xml:space="preserve"> Active Design: Promoting Physical Activity</t>
    </r>
  </si>
  <si>
    <r>
      <rPr>
        <b/>
        <sz val="14"/>
        <color theme="1"/>
        <rFont val="Calibri"/>
        <family val="2"/>
        <scheme val="minor"/>
      </rPr>
      <t>7.18</t>
    </r>
    <r>
      <rPr>
        <sz val="14"/>
        <color theme="1"/>
        <rFont val="Calibri"/>
        <family val="2"/>
        <scheme val="minor"/>
      </rPr>
      <t xml:space="preserve"> Place-Based Wealth Building</t>
    </r>
  </si>
  <si>
    <r>
      <rPr>
        <b/>
        <sz val="14"/>
        <color theme="1"/>
        <rFont val="Calibri"/>
        <family val="2"/>
        <scheme val="minor"/>
      </rPr>
      <t>8.1</t>
    </r>
    <r>
      <rPr>
        <sz val="14"/>
        <color theme="1"/>
        <rFont val="Calibri"/>
        <family val="2"/>
        <scheme val="minor"/>
      </rPr>
      <t xml:space="preserve"> Building Operations and Maintenance Manual and Plan</t>
    </r>
  </si>
  <si>
    <r>
      <rPr>
        <b/>
        <sz val="14"/>
        <color theme="1"/>
        <rFont val="Calibri"/>
        <family val="2"/>
        <scheme val="minor"/>
      </rPr>
      <t>8.2</t>
    </r>
    <r>
      <rPr>
        <sz val="14"/>
        <color theme="1"/>
        <rFont val="Calibri"/>
        <family val="2"/>
        <scheme val="minor"/>
      </rPr>
      <t xml:space="preserve"> Emergency Management Manual</t>
    </r>
  </si>
  <si>
    <r>
      <rPr>
        <b/>
        <sz val="14"/>
        <color theme="1"/>
        <rFont val="Calibri"/>
        <family val="2"/>
        <scheme val="minor"/>
      </rPr>
      <t>8.3</t>
    </r>
    <r>
      <rPr>
        <sz val="14"/>
        <color theme="1"/>
        <rFont val="Calibri"/>
        <family val="2"/>
        <scheme val="minor"/>
      </rPr>
      <t xml:space="preserve"> Resident Manual</t>
    </r>
  </si>
  <si>
    <r>
      <rPr>
        <b/>
        <sz val="14"/>
        <color theme="1"/>
        <rFont val="Calibri"/>
        <family val="2"/>
        <scheme val="minor"/>
      </rPr>
      <t>8.4</t>
    </r>
    <r>
      <rPr>
        <sz val="14"/>
        <color theme="1"/>
        <rFont val="Calibri"/>
        <family val="2"/>
        <scheme val="minor"/>
      </rPr>
      <t xml:space="preserve"> Walk-Throughs and Orientations to Property Operation</t>
    </r>
  </si>
  <si>
    <r>
      <rPr>
        <b/>
        <sz val="14"/>
        <color theme="1"/>
        <rFont val="Calibri"/>
        <family val="2"/>
        <scheme val="minor"/>
      </rPr>
      <t>8.5</t>
    </r>
    <r>
      <rPr>
        <sz val="14"/>
        <color theme="1"/>
        <rFont val="Calibri"/>
        <family val="2"/>
        <scheme val="minor"/>
      </rPr>
      <t xml:space="preserve"> Energy and Water Data Collection and Monitoring</t>
    </r>
  </si>
  <si>
    <r>
      <t xml:space="preserve">Project Information </t>
    </r>
    <r>
      <rPr>
        <sz val="16"/>
        <color theme="0"/>
        <rFont val="Calibri"/>
        <family val="2"/>
        <scheme val="minor"/>
      </rPr>
      <t>(select from dropdowns)</t>
    </r>
  </si>
  <si>
    <r>
      <rPr>
        <b/>
        <sz val="14"/>
        <color theme="1"/>
        <rFont val="Calibri"/>
        <family val="2"/>
        <scheme val="minor"/>
      </rPr>
      <t>3.9</t>
    </r>
    <r>
      <rPr>
        <sz val="14"/>
        <color theme="1"/>
        <rFont val="Calibri"/>
        <family val="2"/>
        <scheme val="minor"/>
      </rPr>
      <t xml:space="preserve"> Resilient Site Design: Wind (Option 2: Openings-Shutters)</t>
    </r>
  </si>
  <si>
    <r>
      <rPr>
        <b/>
        <sz val="14"/>
        <color theme="1"/>
        <rFont val="Calibri"/>
        <family val="2"/>
        <scheme val="minor"/>
      </rPr>
      <t>3.9</t>
    </r>
    <r>
      <rPr>
        <sz val="14"/>
        <color theme="1"/>
        <rFont val="Calibri"/>
        <family val="2"/>
        <scheme val="minor"/>
      </rPr>
      <t xml:space="preserve"> Option 2: Continuous Load Path - Gable end walls bracing</t>
    </r>
  </si>
  <si>
    <r>
      <rPr>
        <b/>
        <sz val="14"/>
        <color theme="1"/>
        <rFont val="Calibri"/>
        <family val="2"/>
        <scheme val="minor"/>
      </rPr>
      <t>3.9</t>
    </r>
    <r>
      <rPr>
        <sz val="14"/>
        <color theme="1"/>
        <rFont val="Calibri"/>
        <family val="2"/>
        <scheme val="minor"/>
      </rPr>
      <t xml:space="preserve"> Option 2: Continuous Load Path - Gable end walls sheathing</t>
    </r>
  </si>
  <si>
    <r>
      <rPr>
        <b/>
        <sz val="14"/>
        <color theme="1"/>
        <rFont val="Calibri"/>
        <family val="2"/>
        <scheme val="minor"/>
      </rPr>
      <t>3.9</t>
    </r>
    <r>
      <rPr>
        <sz val="14"/>
        <color theme="1"/>
        <rFont val="Calibri"/>
        <family val="2"/>
        <scheme val="minor"/>
      </rPr>
      <t xml:space="preserve"> Option 2: Continuous Load Path - Bracing of Roof Framing</t>
    </r>
  </si>
  <si>
    <r>
      <rPr>
        <b/>
        <sz val="14"/>
        <color theme="1"/>
        <rFont val="Calibri"/>
        <family val="2"/>
        <scheme val="minor"/>
      </rPr>
      <t>3.9</t>
    </r>
    <r>
      <rPr>
        <sz val="14"/>
        <color theme="1"/>
        <rFont val="Calibri"/>
        <family val="2"/>
        <scheme val="minor"/>
      </rPr>
      <t xml:space="preserve"> Option 2: Continuous Load Path - Floor-to-Floor Connections</t>
    </r>
  </si>
  <si>
    <r>
      <rPr>
        <b/>
        <sz val="14"/>
        <color theme="1"/>
        <rFont val="Calibri"/>
        <family val="2"/>
        <scheme val="minor"/>
      </rPr>
      <t>3.9</t>
    </r>
    <r>
      <rPr>
        <sz val="14"/>
        <color theme="1"/>
        <rFont val="Calibri"/>
        <family val="2"/>
        <scheme val="minor"/>
      </rPr>
      <t xml:space="preserve"> Option 2: Continuous Load Path - Wall System Design</t>
    </r>
  </si>
  <si>
    <r>
      <rPr>
        <b/>
        <sz val="14"/>
        <color theme="1"/>
        <rFont val="Calibri"/>
        <family val="2"/>
        <scheme val="minor"/>
      </rPr>
      <t>3.9</t>
    </r>
    <r>
      <rPr>
        <sz val="14"/>
        <color theme="1"/>
        <rFont val="Calibri"/>
        <family val="2"/>
        <scheme val="minor"/>
      </rPr>
      <t xml:space="preserve"> Resilient Site Design: Wind (Option 2: Garage Doors)</t>
    </r>
  </si>
  <si>
    <r>
      <rPr>
        <b/>
        <sz val="14"/>
        <color theme="1"/>
        <rFont val="Calibri"/>
        <family val="2"/>
        <scheme val="minor"/>
      </rPr>
      <t>3.9</t>
    </r>
    <r>
      <rPr>
        <sz val="14"/>
        <color theme="1"/>
        <rFont val="Calibri"/>
        <family val="2"/>
        <scheme val="minor"/>
      </rPr>
      <t xml:space="preserve"> Resilient Site Design: Wind (Option 2: Wall System)</t>
    </r>
  </si>
  <si>
    <r>
      <rPr>
        <b/>
        <sz val="14"/>
        <color theme="1"/>
        <rFont val="Calibri"/>
        <family val="2"/>
        <scheme val="minor"/>
      </rPr>
      <t xml:space="preserve">3.9 </t>
    </r>
    <r>
      <rPr>
        <sz val="14"/>
        <color theme="1"/>
        <rFont val="Calibri"/>
        <family val="2"/>
        <scheme val="minor"/>
      </rPr>
      <t xml:space="preserve">Option 2: Wall System - Increase shear walls nailing pattern </t>
    </r>
  </si>
  <si>
    <r>
      <rPr>
        <b/>
        <sz val="14"/>
        <color theme="1"/>
        <rFont val="Calibri"/>
        <family val="2"/>
        <scheme val="minor"/>
      </rPr>
      <t xml:space="preserve">3.9 </t>
    </r>
    <r>
      <rPr>
        <sz val="14"/>
        <color theme="1"/>
        <rFont val="Calibri"/>
        <family val="2"/>
        <scheme val="minor"/>
      </rPr>
      <t xml:space="preserve">Option 2: Wall System - Inspect shear walls nailing pattern </t>
    </r>
  </si>
  <si>
    <r>
      <rPr>
        <b/>
        <sz val="14"/>
        <color theme="1"/>
        <rFont val="Calibri"/>
        <family val="2"/>
        <scheme val="minor"/>
      </rPr>
      <t>3.9</t>
    </r>
    <r>
      <rPr>
        <sz val="14"/>
        <color theme="1"/>
        <rFont val="Calibri"/>
        <family val="2"/>
        <scheme val="minor"/>
      </rPr>
      <t xml:space="preserve"> Resilient Site Design: Wind (Option 2: Soffit)</t>
    </r>
  </si>
  <si>
    <r>
      <rPr>
        <b/>
        <sz val="14"/>
        <color theme="1"/>
        <rFont val="Calibri"/>
        <family val="2"/>
        <scheme val="minor"/>
      </rPr>
      <t>3.9</t>
    </r>
    <r>
      <rPr>
        <sz val="14"/>
        <color theme="1"/>
        <rFont val="Calibri"/>
        <family val="2"/>
        <scheme val="minor"/>
      </rPr>
      <t xml:space="preserve"> Option 2: Soffit - Fiber cement or wood soffit material</t>
    </r>
  </si>
  <si>
    <r>
      <rPr>
        <b/>
        <sz val="14"/>
        <color theme="1"/>
        <rFont val="Calibri"/>
        <family val="2"/>
        <scheme val="minor"/>
      </rPr>
      <t>3.9</t>
    </r>
    <r>
      <rPr>
        <sz val="14"/>
        <color theme="1"/>
        <rFont val="Calibri"/>
        <family val="2"/>
        <scheme val="minor"/>
      </rPr>
      <t xml:space="preserve"> Resilient Site Design: Wind (Option 2: Pressurization Design)</t>
    </r>
  </si>
  <si>
    <r>
      <rPr>
        <b/>
        <sz val="14"/>
        <color theme="1"/>
        <rFont val="Calibri"/>
        <family val="2"/>
        <scheme val="minor"/>
      </rPr>
      <t xml:space="preserve">3.9 </t>
    </r>
    <r>
      <rPr>
        <sz val="14"/>
        <color theme="1"/>
        <rFont val="Calibri"/>
        <family val="2"/>
        <scheme val="minor"/>
      </rPr>
      <t>Resilient Site Design: Wind (Option 2: Chimney)</t>
    </r>
  </si>
  <si>
    <r>
      <rPr>
        <b/>
        <sz val="14"/>
        <color theme="1"/>
        <rFont val="Calibri"/>
        <family val="2"/>
        <scheme val="minor"/>
      </rPr>
      <t xml:space="preserve">3.9 </t>
    </r>
    <r>
      <rPr>
        <sz val="14"/>
        <color theme="1"/>
        <rFont val="Calibri"/>
        <family val="2"/>
        <scheme val="minor"/>
      </rPr>
      <t>Option 2: Chimney - Chimney less than 5ft or engineered</t>
    </r>
  </si>
  <si>
    <r>
      <rPr>
        <b/>
        <sz val="14"/>
        <color theme="1"/>
        <rFont val="Calibri"/>
        <family val="2"/>
        <scheme val="minor"/>
      </rPr>
      <t>3.10</t>
    </r>
    <r>
      <rPr>
        <sz val="14"/>
        <color theme="1"/>
        <rFont val="Calibri"/>
        <family val="2"/>
        <scheme val="minor"/>
      </rPr>
      <t xml:space="preserve"> Option 2: Wall Assembly - FEMA flood-resistant materials</t>
    </r>
  </si>
  <si>
    <r>
      <rPr>
        <b/>
        <sz val="14"/>
        <color theme="1"/>
        <rFont val="Calibri"/>
        <family val="2"/>
        <scheme val="minor"/>
      </rPr>
      <t>3.10</t>
    </r>
    <r>
      <rPr>
        <sz val="14"/>
        <color theme="1"/>
        <rFont val="Calibri"/>
        <family val="2"/>
        <scheme val="minor"/>
      </rPr>
      <t xml:space="preserve"> Option 2: Wall Assembly - Block and use galvanized screws</t>
    </r>
  </si>
  <si>
    <r>
      <rPr>
        <b/>
        <sz val="14"/>
        <color theme="1"/>
        <rFont val="Calibri"/>
        <family val="2"/>
        <scheme val="minor"/>
      </rPr>
      <t>3.10</t>
    </r>
    <r>
      <rPr>
        <sz val="14"/>
        <color theme="1"/>
        <rFont val="Calibri"/>
        <family val="2"/>
        <scheme val="minor"/>
      </rPr>
      <t xml:space="preserve"> Option 2: Wall Assembly - Use closed-cell spray foam</t>
    </r>
  </si>
  <si>
    <r>
      <rPr>
        <b/>
        <sz val="14"/>
        <color theme="1"/>
        <rFont val="Calibri"/>
        <family val="2"/>
        <scheme val="minor"/>
      </rPr>
      <t>3.10</t>
    </r>
    <r>
      <rPr>
        <sz val="14"/>
        <color theme="1"/>
        <rFont val="Calibri"/>
        <family val="2"/>
        <scheme val="minor"/>
      </rPr>
      <t xml:space="preserve"> Option 2: Wall Assembly - Move wall insulation to exterior</t>
    </r>
  </si>
  <si>
    <r>
      <rPr>
        <b/>
        <sz val="14"/>
        <color theme="1"/>
        <rFont val="Calibri"/>
        <family val="2"/>
        <scheme val="minor"/>
      </rPr>
      <t>3.10</t>
    </r>
    <r>
      <rPr>
        <sz val="14"/>
        <color theme="1"/>
        <rFont val="Calibri"/>
        <family val="2"/>
        <scheme val="minor"/>
      </rPr>
      <t xml:space="preserve"> Option 2: Wall Assembly - Fur out wood/cement siding</t>
    </r>
  </si>
  <si>
    <r>
      <rPr>
        <b/>
        <sz val="14"/>
        <color theme="1"/>
        <rFont val="Calibri"/>
        <family val="2"/>
        <scheme val="minor"/>
      </rPr>
      <t xml:space="preserve">3.10 </t>
    </r>
    <r>
      <rPr>
        <sz val="14"/>
        <color theme="1"/>
        <rFont val="Calibri"/>
        <family val="2"/>
        <scheme val="minor"/>
      </rPr>
      <t>Option 2: Freeboard Elevation - BFE + 2–3 ft. or 500-year</t>
    </r>
  </si>
  <si>
    <r>
      <rPr>
        <b/>
        <sz val="14"/>
        <color theme="1"/>
        <rFont val="Calibri"/>
        <family val="2"/>
        <scheme val="minor"/>
      </rPr>
      <t xml:space="preserve">6.2 </t>
    </r>
    <r>
      <rPr>
        <sz val="14"/>
        <color theme="1"/>
        <rFont val="Calibri"/>
        <family val="2"/>
        <scheme val="minor"/>
      </rPr>
      <t>Reduction of Materials and Waste - Strategy A 
(Right-size the structural system)</t>
    </r>
  </si>
  <si>
    <r>
      <rPr>
        <b/>
        <sz val="14"/>
        <color theme="1"/>
        <rFont val="Calibri"/>
        <family val="2"/>
        <scheme val="minor"/>
      </rPr>
      <t xml:space="preserve">6.2 </t>
    </r>
    <r>
      <rPr>
        <sz val="14"/>
        <color theme="1"/>
        <rFont val="Calibri"/>
        <family val="2"/>
        <scheme val="minor"/>
      </rPr>
      <t>Reduction of Materials and Waste - Strategy B 
(Combine systems/eliminate finishes)</t>
    </r>
  </si>
  <si>
    <r>
      <rPr>
        <b/>
        <sz val="14"/>
        <color theme="1"/>
        <rFont val="Calibri"/>
        <family val="2"/>
        <scheme val="minor"/>
      </rPr>
      <t xml:space="preserve">6.2 </t>
    </r>
    <r>
      <rPr>
        <sz val="14"/>
        <color theme="1"/>
        <rFont val="Calibri"/>
        <family val="2"/>
        <scheme val="minor"/>
      </rPr>
      <t>Reduction of Materials and Waste - Strategy C 
(Design based on standard product dimensions)</t>
    </r>
  </si>
  <si>
    <r>
      <rPr>
        <b/>
        <sz val="14"/>
        <color theme="1"/>
        <rFont val="Calibri"/>
        <family val="2"/>
        <scheme val="minor"/>
      </rPr>
      <t xml:space="preserve">6.2 </t>
    </r>
    <r>
      <rPr>
        <sz val="14"/>
        <color theme="1"/>
        <rFont val="Calibri"/>
        <family val="2"/>
        <scheme val="minor"/>
      </rPr>
      <t>Reduction of Materials and Waste - Strategy D 
(Industrialized modular construction)</t>
    </r>
  </si>
  <si>
    <r>
      <rPr>
        <b/>
        <sz val="14"/>
        <color theme="1"/>
        <rFont val="Calibri"/>
        <family val="2"/>
        <scheme val="minor"/>
      </rPr>
      <t xml:space="preserve">6.2 </t>
    </r>
    <r>
      <rPr>
        <sz val="14"/>
        <color theme="1"/>
        <rFont val="Calibri"/>
        <family val="2"/>
        <scheme val="minor"/>
      </rPr>
      <t>Reduction of Materials and Waste - Strategy E 
(Salvaged materials)</t>
    </r>
  </si>
  <si>
    <r>
      <rPr>
        <b/>
        <sz val="14"/>
        <color theme="1"/>
        <rFont val="Calibri"/>
        <family val="2"/>
        <scheme val="minor"/>
      </rPr>
      <t xml:space="preserve">6.2 </t>
    </r>
    <r>
      <rPr>
        <sz val="14"/>
        <color theme="1"/>
        <rFont val="Calibri"/>
        <family val="2"/>
        <scheme val="minor"/>
      </rPr>
      <t>Reduction of Materials and Waste - Strategy F 
(Salvage Assessment)</t>
    </r>
  </si>
  <si>
    <r>
      <rPr>
        <b/>
        <sz val="14"/>
        <color theme="1"/>
        <rFont val="Calibri"/>
        <family val="2"/>
        <scheme val="minor"/>
      </rPr>
      <t xml:space="preserve">6.2 </t>
    </r>
    <r>
      <rPr>
        <sz val="14"/>
        <color theme="1"/>
        <rFont val="Calibri"/>
        <family val="2"/>
        <scheme val="minor"/>
      </rPr>
      <t>Reduction of Materials and Waste - Strategy J 
(Producer Responsibility Program)</t>
    </r>
  </si>
  <si>
    <r>
      <rPr>
        <b/>
        <sz val="14"/>
        <color theme="1"/>
        <rFont val="Calibri"/>
        <family val="2"/>
        <scheme val="minor"/>
      </rPr>
      <t xml:space="preserve">6.2 </t>
    </r>
    <r>
      <rPr>
        <sz val="14"/>
        <color theme="1"/>
        <rFont val="Calibri"/>
        <family val="2"/>
        <scheme val="minor"/>
      </rPr>
      <t>Reduction of Materials and Waste - Strategy K 
(Disassembly)</t>
    </r>
  </si>
  <si>
    <r>
      <rPr>
        <b/>
        <sz val="14"/>
        <color theme="1"/>
        <rFont val="Calibri"/>
        <family val="2"/>
        <scheme val="minor"/>
      </rPr>
      <t xml:space="preserve">6.2 </t>
    </r>
    <r>
      <rPr>
        <sz val="14"/>
        <color theme="1"/>
        <rFont val="Calibri"/>
        <family val="2"/>
        <scheme val="minor"/>
      </rPr>
      <t>Reduction of Materials and Waste - Strategy L 
(Modular Design for Disassembly)</t>
    </r>
  </si>
  <si>
    <t>This section includes credentials required to comply with 2026 Green Communities Criteria.</t>
  </si>
  <si>
    <t>2026 Green Communities Criterion 4.3: Water Quality</t>
  </si>
  <si>
    <t>2026 Green Communities Criterion 7.1 Clean Air: Radon Testing and Mitigation</t>
  </si>
  <si>
    <t>2026 Green Communities Criterion 7.7 Clean Air: Enhanced IAQ</t>
  </si>
  <si>
    <t>2026 Green Communities Criteria 3.1: Minimization of Disturbance During Staging and Construction</t>
  </si>
  <si>
    <t>2026 Green Communities Criterion 6.2: Reduction of Materials and Waste</t>
  </si>
  <si>
    <t>2026 Green Communities Criterion 8.1 Building Operations and Maintenance Manual and Plan</t>
  </si>
  <si>
    <t>2026 Green Communities Criterion 8.2: Emergency Management Manual</t>
  </si>
  <si>
    <t>2026 Green Communities Criterion 5.2a: Building Performance - New Construction</t>
  </si>
  <si>
    <t>2026 Green Communities Criterion 5.3: Building Performance - Advanced Building Performance</t>
  </si>
  <si>
    <t>2026 Green Communities Criterion 1.4: Construction Management</t>
  </si>
  <si>
    <t>2026 Green Communities Criterion 8.4: Walk-Throughs and Orientations to Property Operation</t>
  </si>
  <si>
    <t>2026 Green Communities Criterion 5.2b: Building Performance - Rehabilitation</t>
  </si>
  <si>
    <t>2026 Green Communities Criterion 2.10: Adaptive Reuse of Buildings</t>
  </si>
  <si>
    <t>2026 Green Communities Criterion 7.9b: Managing Moisture in the Building Enclosure - Rehabilitation</t>
  </si>
  <si>
    <t>2026 Green Communities Criterion 6.3 Reduction of Lead Hazards in Pre-1978 Buildings</t>
  </si>
  <si>
    <t>2026 Green Communities Criterion 6.2: Reduction of Materials and Waste - Strategy F (Salvage Assessment)</t>
  </si>
  <si>
    <t>2026 Green Communities Criterion 6.2 Reduction of Materials and Waste - Strategy I (End-of-use guidance)</t>
  </si>
  <si>
    <t>2026 Green Communities Criterion 6.2 Reduction of Materials and Waste - Strategy J (Producer Responsibility Program)</t>
  </si>
  <si>
    <t>2026 Green Communities Criterion 6.2 Reduction of Materials and Waste - Strategy K (Disassembly)</t>
  </si>
  <si>
    <t>2026 Green Communities Criterion 6.2 Reduction of Materials and Waste - Strategy L (Modular Design for Disassembly)</t>
  </si>
  <si>
    <t>2026 Green Communities Criterion 6.2: Reduction of Materials and Waste - Strategy J (Producer Responsibility Program)</t>
  </si>
  <si>
    <t>2026 Green Communities Criterion 6.2: Reduction of Materials and Waste - Strategy L (Modular Design for Disassembly)</t>
  </si>
  <si>
    <t>2026 Green Communities Criteria 2.10: Adaptive Reuse of Buildings</t>
  </si>
  <si>
    <t>2026 Green Communities Criterion 3.9 Resilient Site Design: Wind</t>
  </si>
  <si>
    <t>2026 Green Communities Criterion 6.4 Advanced Material Selection - Concrete</t>
  </si>
  <si>
    <t>2026 Green Communities Criterion 6.2: Reduction of Materials and Waste - Strategy A (Right-size the structural system)</t>
  </si>
  <si>
    <t>2026 Green Communities Criterion 6.4: Advanced Material Selection - Concrete</t>
  </si>
  <si>
    <t>2026 Green Communities Criterion 7.9a: Managing Moisture in the Building Enclosure: New Construction</t>
  </si>
  <si>
    <t>2026 Green Communities Criterion 6.1: Product Category Screening</t>
  </si>
  <si>
    <t>2026 Green Communities Criterion 3.9: Resilient Site Design - Wind (Option 2)</t>
  </si>
  <si>
    <t>2026 Green Communities Criterion 6.4: Advanced Material Selection - Steel</t>
  </si>
  <si>
    <t>2026 Green Communities Criterion 6.1 Product Category Screening</t>
  </si>
  <si>
    <t>2026 Green Communities Criterion 3.11: Resilient Site Design - Wildfire</t>
  </si>
  <si>
    <t>2026 Green Communities Criterion 3.11: Resilient Site Design: Wildfire</t>
  </si>
  <si>
    <t>2026 Green Communities Criterion 7.14: Social Connection and Accessibility - Design for All Ages and Abilities</t>
  </si>
  <si>
    <t>2026 Green Communities Criterion 3.9: Resilient Site Design - Wind</t>
  </si>
  <si>
    <t>2026 Green Communities Criterion 3.10: Resilient Site Design - Flood</t>
  </si>
  <si>
    <t>2026 Green Communities Criterion 6.4: Advanced Material Selection - Adhesives</t>
  </si>
  <si>
    <t>2026 Green Communities Criterion 6.4: Advanced Material Selection - Paint/coatings</t>
  </si>
  <si>
    <t>2026 Green Communities Criterion 7.14: Social Connection and Accessibility - Design For All Ages and Abilities, Strategy K</t>
  </si>
  <si>
    <t xml:space="preserve">2026 Green Communities Criterion 3.9: Resilient Site Design - Wind </t>
  </si>
  <si>
    <t>2026 Green Communities Criterion 7.14: Social Connection and Accessibility - Design For All Ages and Abilities</t>
  </si>
  <si>
    <t>2026 Green Communities Criterion 6.4: Advanced Material Selection - Wood, composite</t>
  </si>
  <si>
    <t>2026 Green Communities Criterion 6.2: Reduction of Waste and Materials</t>
  </si>
  <si>
    <t>2026 Green Communities Criterion 7.13: Personal and Social Safety</t>
  </si>
  <si>
    <t>2026 Green Communities Criterion 7.9a: Managing Moisture in the Building Enclosure - New Construction</t>
  </si>
  <si>
    <t>2026 Green Communities Criterion 5.3: Advanced Building Performance</t>
  </si>
  <si>
    <t>2026 Green Communities Criterion 6.4: Advanced Material Selection</t>
  </si>
  <si>
    <t>2026 Green Communities Criterion 7.3: Clean Air - Garage Isolation and Vehicle Pollution Management</t>
  </si>
  <si>
    <t>2026 Green Communities Criterion 3.8: Heat-Island Management</t>
  </si>
  <si>
    <t>2026 Green Communities Criterion 7.14: Social Connection and Accessibility - Design for All Ages</t>
  </si>
  <si>
    <t>2026 Green Communities Criterion 7.12a: Sensory and Rest Friendly - Noise Reduction, New Construction</t>
  </si>
  <si>
    <t>2026 Green Communities Criterion 7.12b: Sensory and Rest Friendly - Noise Reduction, Rehabilitation</t>
  </si>
  <si>
    <t>2026 Green Communities Criterion 6.2: Advanced Material Selection</t>
  </si>
  <si>
    <t>2026 Green Communities Criterion 7.17: Active Design - Promoting Physical Activity</t>
  </si>
  <si>
    <t>2026 Green Communities Criterion 7.10: Managing Moisture - Bath, Kitchen, and Laundry Assemblies</t>
  </si>
  <si>
    <t>2026 Green Communities Criterion 7.15: Access to Nature and Biophilic Design</t>
  </si>
  <si>
    <t>2026 Green Communities Criterion 7.16: Healing-Centered and Culturally Responsive Design</t>
  </si>
  <si>
    <t>2026 Green Communities Criterion 2.6: Transit, Mobility, and Walkability</t>
  </si>
  <si>
    <t>2026 Green Communities Criterion 5.9: Passive Survivability</t>
  </si>
  <si>
    <t>2026 Green Communities Criterion 7.11: Reducing Allergens and Disease Vectors - Integrated Pest Management</t>
  </si>
  <si>
    <t>2026 Green Communities Criterion 6.5: Recycling Storage</t>
  </si>
  <si>
    <t>2026 Green Communities Criterion 8.1: Building Operations and Maintenance Manual and Plan</t>
  </si>
  <si>
    <t>2026 Green Communities Criterion 4.4: Monitoring Water Consumption and Leaks</t>
  </si>
  <si>
    <t>2026 Green Communities Criterion 8.5: Energy and Water Data Collection and Monitoring</t>
  </si>
  <si>
    <t>2026 Green Communities Criterion 4.5: Efficient Plumbing Layout and Design</t>
  </si>
  <si>
    <t>2026 Green Communities Criterion 4.1: Water-Conserving Fixtures</t>
  </si>
  <si>
    <t>2026 Green Communities Criterion 4.2: Advanced Water Conservation</t>
  </si>
  <si>
    <t>2026 Green Communities Criterion 4.7: Access to Potable Water During Emergencies</t>
  </si>
  <si>
    <t>2026 Green Communities Criterion 4.6: Indoor Water Efficiency - Nonpotable Water Reuse</t>
  </si>
  <si>
    <t>2026 Green Communities Criterion 7.8: Managing Moisture - Dehumidification</t>
  </si>
  <si>
    <t>2026 Green Communities Criterion 3.4: Surface Stormwater Management</t>
  </si>
  <si>
    <t>2026 Green Communities Criterion 3.6: Outdoor Water Use - Alternative Sources</t>
  </si>
  <si>
    <t>2026 Green Communities Criterion 7.2: Clean Air - Combustion Equipment</t>
  </si>
  <si>
    <t>2026 Green Communities Criterion 7.5: Clean Air - Ventilation</t>
  </si>
  <si>
    <t>2026 Green Communities Criterion 7.7: Clean Air - Enhanced IAQ</t>
  </si>
  <si>
    <t>2026 Green Communities Criterion 7.6: Clean Air - Indoor Air Filtration</t>
  </si>
  <si>
    <t>2026 Green Communities Criterion 5.8: Electric Vehicle Charging</t>
  </si>
  <si>
    <t>2026 Green Communities Criterion 5.5: Peak Demand Control</t>
  </si>
  <si>
    <t>2026 Green Communities Criterion 5.6: Backup Power</t>
  </si>
  <si>
    <t>2026 Green Communities Criterion 3.3: Exterior Lighting</t>
  </si>
  <si>
    <t>2026 Green Communities Criterion 5.7: Renewable Energy</t>
  </si>
  <si>
    <t>2026 Green Communities Criterion 2.9: Access to Broadband</t>
  </si>
  <si>
    <t>2026 Green Communities Criterion 3.1: Minimization of Disturbance During Staging and Construction</t>
  </si>
  <si>
    <t>2026 Green Communities Criterion 7.1: Clean Air: Radon Testing and Mitigation</t>
  </si>
  <si>
    <t>2026 Green Communities Criterion 3.7: Traffic Safety and Mobility</t>
  </si>
  <si>
    <t xml:space="preserve">2026 Green Communities Criterion 2.6: Transit, Mobility, and Walkability </t>
  </si>
  <si>
    <t>2026 Green Communities Criterion 3.5: Outdoor Water Use - Efficient Irrigation</t>
  </si>
  <si>
    <t>2026 Green Communities Criterion 3.2: Site Design for Ecosystem Services</t>
  </si>
  <si>
    <t xml:space="preserve">2026 Green Communities Criterion </t>
  </si>
  <si>
    <t>2026 Green Communities Criterion 5.4: All-Electric and Electric-Ready Design - New Construction/Rehab</t>
  </si>
  <si>
    <r>
      <t xml:space="preserve">This tab is for reference only. </t>
    </r>
    <r>
      <rPr>
        <sz val="14"/>
        <color theme="1"/>
        <rFont val="Calibri"/>
        <family val="2"/>
        <scheme val="minor"/>
      </rPr>
      <t>It contains the dropdown options used in the "EGC Criteria Selection" tab.</t>
    </r>
  </si>
  <si>
    <r>
      <t xml:space="preserve">Property is a substantial rehab </t>
    </r>
    <r>
      <rPr>
        <u/>
        <sz val="14"/>
        <color theme="1"/>
        <rFont val="Calibri (Body)"/>
      </rPr>
      <t>without</t>
    </r>
    <r>
      <rPr>
        <sz val="14"/>
        <color theme="1"/>
        <rFont val="Calibri"/>
        <family val="2"/>
        <scheme val="minor"/>
      </rPr>
      <t xml:space="preserve"> a historic designation (0.3 CFM50/sfbe target)</t>
    </r>
  </si>
  <si>
    <r>
      <t>5.3</t>
    </r>
    <r>
      <rPr>
        <b/>
        <sz val="14"/>
        <color theme="1"/>
        <rFont val="Calibri"/>
        <family val="2"/>
        <scheme val="minor"/>
      </rPr>
      <t xml:space="preserve"> </t>
    </r>
    <r>
      <rPr>
        <sz val="14"/>
        <color theme="1"/>
        <rFont val="Calibri"/>
        <family val="2"/>
        <scheme val="minor"/>
      </rPr>
      <t>Advanced Building Performance</t>
    </r>
  </si>
  <si>
    <r>
      <rPr>
        <b/>
        <sz val="14"/>
        <color theme="1"/>
        <rFont val="Calibri"/>
        <family val="2"/>
        <scheme val="minor"/>
      </rPr>
      <t xml:space="preserve">5.4b </t>
    </r>
    <r>
      <rPr>
        <sz val="14"/>
        <color theme="1"/>
        <rFont val="Calibri"/>
        <family val="2"/>
        <scheme val="minor"/>
      </rPr>
      <t>All-Electric and Electric-Ready Design: Rehabilitation (Option 1 - gas water heating)</t>
    </r>
  </si>
  <si>
    <r>
      <rPr>
        <b/>
        <sz val="14"/>
        <color theme="1"/>
        <rFont val="Calibri"/>
        <family val="2"/>
        <scheme val="minor"/>
      </rPr>
      <t xml:space="preserve">5.8 </t>
    </r>
    <r>
      <rPr>
        <sz val="14"/>
        <color theme="1"/>
        <rFont val="Calibri"/>
        <family val="2"/>
        <scheme val="minor"/>
      </rPr>
      <t>Electric Vehicle Charging - Mandatory (ALMS)</t>
    </r>
  </si>
  <si>
    <r>
      <rPr>
        <b/>
        <sz val="14"/>
        <color theme="1"/>
        <rFont val="Calibri"/>
        <family val="2"/>
        <scheme val="minor"/>
      </rPr>
      <t xml:space="preserve">6.2 </t>
    </r>
    <r>
      <rPr>
        <sz val="14"/>
        <color theme="1"/>
        <rFont val="Calibri"/>
        <family val="2"/>
        <scheme val="minor"/>
      </rPr>
      <t>Reduction of Materials and Waste</t>
    </r>
  </si>
  <si>
    <r>
      <rPr>
        <b/>
        <sz val="14"/>
        <color theme="1"/>
        <rFont val="Calibri"/>
        <family val="2"/>
        <scheme val="minor"/>
      </rPr>
      <t xml:space="preserve">6.2 </t>
    </r>
    <r>
      <rPr>
        <sz val="14"/>
        <color theme="1"/>
        <rFont val="Calibri"/>
        <family val="2"/>
        <scheme val="minor"/>
      </rPr>
      <t>Reduction of Materials and Waste - Strategy E</t>
    </r>
  </si>
  <si>
    <r>
      <rPr>
        <b/>
        <sz val="14"/>
        <color theme="1"/>
        <rFont val="Calibri"/>
        <family val="2"/>
        <scheme val="minor"/>
      </rPr>
      <t>7.1</t>
    </r>
    <r>
      <rPr>
        <sz val="14"/>
        <color theme="1"/>
        <rFont val="Calibri"/>
        <family val="2"/>
        <scheme val="minor"/>
      </rPr>
      <t xml:space="preserve"> Clean Air: Radon Testing and Mitigation (new construction)</t>
    </r>
  </si>
  <si>
    <r>
      <rPr>
        <b/>
        <sz val="14"/>
        <color theme="1"/>
        <rFont val="Calibri"/>
        <family val="2"/>
        <scheme val="minor"/>
      </rPr>
      <t>7.3</t>
    </r>
    <r>
      <rPr>
        <sz val="14"/>
        <color theme="1"/>
        <rFont val="Calibri"/>
        <family val="2"/>
        <scheme val="minor"/>
      </rPr>
      <t xml:space="preserve"> Clean Air: Garage isolation and Vehicle Pollution Management</t>
    </r>
  </si>
  <si>
    <r>
      <rPr>
        <b/>
        <sz val="14"/>
        <color theme="1"/>
        <rFont val="Calibri"/>
        <family val="2"/>
        <scheme val="minor"/>
      </rPr>
      <t>7.5</t>
    </r>
    <r>
      <rPr>
        <sz val="14"/>
        <color theme="1"/>
        <rFont val="Calibri"/>
        <family val="2"/>
        <scheme val="minor"/>
      </rPr>
      <t xml:space="preserve"> Clean Air: Ventilation - Moderate rehabs, 4+ Stories</t>
    </r>
  </si>
  <si>
    <r>
      <rPr>
        <b/>
        <sz val="14"/>
        <color theme="1"/>
        <rFont val="Calibri"/>
        <family val="2"/>
        <scheme val="minor"/>
      </rPr>
      <t xml:space="preserve">7.13 </t>
    </r>
    <r>
      <rPr>
        <sz val="14"/>
        <color theme="1"/>
        <rFont val="Calibri"/>
        <family val="2"/>
        <scheme val="minor"/>
      </rPr>
      <t>Personal and Social Safety</t>
    </r>
  </si>
  <si>
    <r>
      <rPr>
        <b/>
        <sz val="14"/>
        <color theme="1"/>
        <rFont val="Calibri"/>
        <family val="2"/>
        <scheme val="minor"/>
      </rPr>
      <t xml:space="preserve">7.13 </t>
    </r>
    <r>
      <rPr>
        <sz val="14"/>
        <color theme="1"/>
        <rFont val="Calibri"/>
        <family val="2"/>
        <scheme val="minor"/>
      </rPr>
      <t>Personal and Social Safety - Strategy I</t>
    </r>
  </si>
  <si>
    <r>
      <t xml:space="preserve">7.14 </t>
    </r>
    <r>
      <rPr>
        <sz val="14"/>
        <color theme="1"/>
        <rFont val="Calibri"/>
        <family val="2"/>
        <scheme val="minor"/>
      </rPr>
      <t>Social Connection and Accessibility: Design for All Ages and Abilities</t>
    </r>
  </si>
  <si>
    <r>
      <t xml:space="preserve">This tab is for reference only. </t>
    </r>
    <r>
      <rPr>
        <sz val="14"/>
        <color theme="1"/>
        <rFont val="Calibri"/>
        <family val="2"/>
        <scheme val="minor"/>
      </rPr>
      <t>It describes updates and bug fixes implemented in revised versions of the tool.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</si>
</sst>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40">
    <font>
      <sz val="11"/>
      <color theme="1"/>
      <name val="Calibri"/>
      <family val="2"/>
      <scheme val="minor"/>
    </font>
    <font>
      <sz val="12"/>
      <color theme="1"/>
      <name val="Calibri"/>
      <family val="2"/>
      <scheme val="minor"/>
    </font>
    <font>
      <sz val="11"/>
      <color theme="1"/>
      <name val="Calibri"/>
      <family val="2"/>
    </font>
    <font>
      <sz val="10"/>
      <name val="Arial"/>
      <family val="2"/>
    </font>
    <font>
      <b/>
      <sz val="14"/>
      <color theme="0"/>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sz val="11"/>
      <name val="Calibri"/>
      <family val="2"/>
      <scheme val="minor"/>
    </font>
    <font>
      <sz val="7"/>
      <color theme="1"/>
      <name val="Calibri"/>
      <family val="2"/>
      <scheme val="minor"/>
    </font>
    <font>
      <sz val="11"/>
      <color rgb="FF000000"/>
      <name val="Calibri"/>
      <family val="2"/>
      <scheme val="minor"/>
    </font>
    <font>
      <sz val="11"/>
      <color theme="1"/>
      <name val="Symbol"/>
      <family val="1"/>
      <charset val="2"/>
    </font>
    <font>
      <sz val="11"/>
      <color theme="1"/>
      <name val="Times New Roman"/>
      <family val="1"/>
    </font>
    <font>
      <sz val="11"/>
      <color rgb="FF000000"/>
      <name val="Times New Roman"/>
      <family val="1"/>
    </font>
    <font>
      <sz val="11"/>
      <color rgb="FF0A0A0A"/>
      <name val="Calibri"/>
      <family val="2"/>
      <scheme val="minor"/>
    </font>
    <font>
      <sz val="14"/>
      <color theme="0"/>
      <name val="Calibri"/>
      <family val="2"/>
      <scheme val="minor"/>
    </font>
    <font>
      <sz val="11"/>
      <color theme="9" tint="-0.249977111117893"/>
      <name val="Calibri"/>
      <family val="2"/>
      <scheme val="minor"/>
    </font>
    <font>
      <b/>
      <u/>
      <sz val="11"/>
      <color theme="10"/>
      <name val="Calibri"/>
      <family val="2"/>
      <scheme val="minor"/>
    </font>
    <font>
      <sz val="8"/>
      <name val="Calibri"/>
      <family val="2"/>
      <scheme val="minor"/>
    </font>
    <font>
      <i/>
      <sz val="11"/>
      <color rgb="FF0A0A0A"/>
      <name val="Calibri"/>
      <family val="2"/>
      <scheme val="minor"/>
    </font>
    <font>
      <sz val="10"/>
      <color theme="1"/>
      <name val="Calibri"/>
      <family val="2"/>
      <scheme val="minor"/>
    </font>
    <font>
      <sz val="11"/>
      <color rgb="FF212529"/>
      <name val="Calibri"/>
      <family val="2"/>
      <scheme val="minor"/>
    </font>
    <font>
      <b/>
      <sz val="11"/>
      <color rgb="FF0A0A0A"/>
      <name val="Calibri"/>
      <family val="2"/>
      <scheme val="minor"/>
    </font>
    <font>
      <b/>
      <sz val="10"/>
      <color theme="1"/>
      <name val="Calibri"/>
      <family val="2"/>
      <scheme val="minor"/>
    </font>
    <font>
      <sz val="14"/>
      <color theme="1"/>
      <name val="Calibri"/>
      <family val="2"/>
      <scheme val="minor"/>
    </font>
    <font>
      <b/>
      <sz val="14"/>
      <color theme="1"/>
      <name val="Calibri"/>
      <family val="2"/>
      <scheme val="minor"/>
    </font>
    <font>
      <sz val="14"/>
      <color rgb="FFFF0000"/>
      <name val="Calibri"/>
      <family val="2"/>
      <scheme val="minor"/>
    </font>
    <font>
      <u/>
      <sz val="14"/>
      <color theme="10"/>
      <name val="Calibri"/>
      <family val="2"/>
      <scheme val="minor"/>
    </font>
    <font>
      <u/>
      <sz val="14"/>
      <color theme="7"/>
      <name val="Calibri"/>
      <family val="2"/>
      <scheme val="minor"/>
    </font>
    <font>
      <b/>
      <sz val="16"/>
      <color theme="0"/>
      <name val="Calibri"/>
      <family val="2"/>
      <scheme val="minor"/>
    </font>
    <font>
      <b/>
      <sz val="18"/>
      <color theme="0"/>
      <name val="Calibri"/>
      <family val="2"/>
      <scheme val="minor"/>
    </font>
    <font>
      <u/>
      <sz val="12"/>
      <color theme="7"/>
      <name val="Calibri"/>
      <family val="2"/>
      <scheme val="minor"/>
    </font>
    <font>
      <i/>
      <sz val="14"/>
      <color theme="1"/>
      <name val="Calibri"/>
      <family val="2"/>
      <scheme val="minor"/>
    </font>
    <font>
      <sz val="14"/>
      <color rgb="FF000000"/>
      <name val="Calibri"/>
      <family val="2"/>
      <scheme val="minor"/>
    </font>
    <font>
      <b/>
      <sz val="14"/>
      <color rgb="FFFF0000"/>
      <name val="Calibri"/>
      <family val="2"/>
      <scheme val="minor"/>
    </font>
    <font>
      <sz val="14"/>
      <color theme="1"/>
      <name val="Calibri"/>
      <family val="2"/>
    </font>
    <font>
      <sz val="14"/>
      <color theme="1"/>
      <name val="Arial"/>
      <family val="2"/>
    </font>
    <font>
      <b/>
      <sz val="14"/>
      <color rgb="FFC00000"/>
      <name val="Calibri"/>
      <family val="2"/>
      <scheme val="minor"/>
    </font>
    <font>
      <sz val="16"/>
      <color theme="0"/>
      <name val="Calibri"/>
      <family val="2"/>
      <scheme val="minor"/>
    </font>
    <font>
      <u/>
      <sz val="14"/>
      <color theme="1"/>
      <name val="Calibri (Body)"/>
    </font>
  </fonts>
  <fills count="2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D7E1DC"/>
        <bgColor rgb="FF000000"/>
      </patternFill>
    </fill>
    <fill>
      <patternFill patternType="solid">
        <fgColor rgb="FFF1D1FF"/>
        <bgColor indexed="64"/>
      </patternFill>
    </fill>
    <fill>
      <patternFill patternType="solid">
        <fgColor rgb="FFF1D1FF"/>
        <bgColor rgb="FF000000"/>
      </patternFill>
    </fill>
    <fill>
      <patternFill patternType="solid">
        <fgColor theme="0"/>
        <bgColor rgb="FF000000"/>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6" tint="9.9978637043366805E-2"/>
        <bgColor indexed="64"/>
      </patternFill>
    </fill>
    <fill>
      <patternFill patternType="solid">
        <fgColor theme="2" tint="0.79998168889431442"/>
        <bgColor indexed="64"/>
      </patternFill>
    </fill>
    <fill>
      <patternFill patternType="solid">
        <fgColor theme="0" tint="-0.14999847407452621"/>
        <bgColor rgb="FF000000"/>
      </patternFill>
    </fill>
    <fill>
      <patternFill patternType="solid">
        <fgColor theme="9" tint="0.59999389629810485"/>
        <bgColor indexed="64"/>
      </patternFill>
    </fill>
    <fill>
      <patternFill patternType="solid">
        <fgColor rgb="FFD1AD7F"/>
        <bgColor indexed="64"/>
      </patternFill>
    </fill>
    <fill>
      <patternFill patternType="solid">
        <fgColor theme="6" tint="0.499984740745262"/>
        <bgColor indexed="64"/>
      </patternFill>
    </fill>
    <fill>
      <patternFill patternType="solid">
        <fgColor theme="6" tint="0.749992370372631"/>
        <bgColor indexed="64"/>
      </patternFill>
    </fill>
    <fill>
      <patternFill patternType="solid">
        <fgColor theme="0" tint="-0.34998626667073579"/>
        <bgColor indexed="64"/>
      </patternFill>
    </fill>
    <fill>
      <patternFill patternType="solid">
        <fgColor rgb="FFF0EEE3"/>
        <bgColor indexed="64"/>
      </patternFill>
    </fill>
    <fill>
      <patternFill patternType="solid">
        <fgColor rgb="FFDAD3C6"/>
        <bgColor indexed="64"/>
      </patternFill>
    </fill>
    <fill>
      <patternFill patternType="solid">
        <fgColor rgb="FFF0FEFB"/>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4" tint="0.89999084444715716"/>
        <bgColor indexed="64"/>
      </patternFill>
    </fill>
  </fills>
  <borders count="65">
    <border>
      <left/>
      <right/>
      <top/>
      <bottom/>
      <diagonal/>
    </border>
    <border>
      <left/>
      <right/>
      <top/>
      <bottom style="thin">
        <color indexed="64"/>
      </bottom>
      <diagonal/>
    </border>
    <border>
      <left/>
      <right style="thin">
        <color theme="0" tint="-0.34998626667073579"/>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style="thin">
        <color theme="1"/>
      </right>
      <top/>
      <bottom style="thin">
        <color theme="1"/>
      </bottom>
      <diagonal/>
    </border>
    <border>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1"/>
      </right>
      <top style="thin">
        <color theme="0" tint="-0.34998626667073579"/>
      </top>
      <bottom style="thin">
        <color theme="0" tint="-0.34998626667073579"/>
      </bottom>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0" tint="-0.34998626667073579"/>
      </bottom>
      <diagonal/>
    </border>
    <border>
      <left/>
      <right/>
      <top style="thin">
        <color theme="1"/>
      </top>
      <bottom style="thin">
        <color theme="0" tint="-0.34998626667073579"/>
      </bottom>
      <diagonal/>
    </border>
    <border>
      <left/>
      <right style="thin">
        <color theme="1"/>
      </right>
      <top style="thin">
        <color theme="1"/>
      </top>
      <bottom style="thin">
        <color theme="0" tint="-0.34998626667073579"/>
      </bottom>
      <diagonal/>
    </border>
    <border>
      <left style="thin">
        <color theme="0" tint="-0.34998626667073579"/>
      </left>
      <right style="thin">
        <color theme="0" tint="-0.34998626667073579"/>
      </right>
      <top/>
      <bottom style="thin">
        <color theme="1"/>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right/>
      <top style="thin">
        <color theme="0" tint="-0.34998626667073579"/>
      </top>
      <bottom style="thin">
        <color theme="0" tint="-0.34998626667073579"/>
      </bottom>
      <diagonal/>
    </border>
    <border>
      <left/>
      <right style="thin">
        <color theme="1"/>
      </right>
      <top style="thin">
        <color theme="0" tint="-0.34998626667073579"/>
      </top>
      <bottom style="thin">
        <color theme="0" tint="-0.34998626667073579"/>
      </bottom>
      <diagonal/>
    </border>
    <border>
      <left/>
      <right style="thin">
        <color theme="1"/>
      </right>
      <top style="thin">
        <color indexed="64"/>
      </top>
      <bottom style="thin">
        <color indexed="64"/>
      </bottom>
      <diagonal/>
    </border>
    <border>
      <left/>
      <right style="thin">
        <color theme="1"/>
      </right>
      <top/>
      <bottom style="thin">
        <color indexed="64"/>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1"/>
      </left>
      <right/>
      <top/>
      <bottom style="thin">
        <color indexed="64"/>
      </bottom>
      <diagonal/>
    </border>
    <border>
      <left style="thin">
        <color theme="1"/>
      </left>
      <right/>
      <top style="thin">
        <color indexed="64"/>
      </top>
      <bottom style="thin">
        <color indexed="64"/>
      </bottom>
      <diagonal/>
    </border>
    <border>
      <left style="thin">
        <color theme="0" tint="-0.34998626667073579"/>
      </left>
      <right style="thin">
        <color theme="1"/>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1"/>
      </top>
      <bottom style="thin">
        <color theme="1"/>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top/>
      <bottom/>
      <diagonal/>
    </border>
    <border>
      <left style="thin">
        <color theme="0" tint="-0.34998626667073579"/>
      </left>
      <right style="thin">
        <color theme="1"/>
      </right>
      <top/>
      <bottom style="thin">
        <color theme="0" tint="-0.34998626667073579"/>
      </bottom>
      <diagonal/>
    </border>
    <border>
      <left/>
      <right style="thin">
        <color theme="0" tint="-0.34998626667073579"/>
      </right>
      <top/>
      <bottom style="thin">
        <color theme="0" tint="-0.34998626667073579"/>
      </bottom>
      <diagonal/>
    </border>
    <border>
      <left style="thin">
        <color theme="1"/>
      </left>
      <right style="thin">
        <color theme="0" tint="-0.34998626667073579"/>
      </right>
      <top/>
      <bottom style="thin">
        <color theme="1"/>
      </bottom>
      <diagonal/>
    </border>
    <border>
      <left style="thin">
        <color theme="0" tint="-0.34998626667073579"/>
      </left>
      <right style="thin">
        <color theme="0" tint="-0.34998626667073579"/>
      </right>
      <top style="thin">
        <color theme="1"/>
      </top>
      <bottom style="thin">
        <color theme="0" tint="-0.34998626667073579"/>
      </bottom>
      <diagonal/>
    </border>
    <border>
      <left style="thin">
        <color theme="1"/>
      </left>
      <right style="thin">
        <color theme="0" tint="-0.34998626667073579"/>
      </right>
      <top style="thin">
        <color indexed="64"/>
      </top>
      <bottom style="thin">
        <color theme="1"/>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theme="0" tint="-0.34998626667073579"/>
      </right>
      <top style="thin">
        <color indexed="64"/>
      </top>
      <bottom style="thin">
        <color theme="1"/>
      </bottom>
      <diagonal/>
    </border>
    <border>
      <left/>
      <right/>
      <top style="thin">
        <color indexed="64"/>
      </top>
      <bottom/>
      <diagonal/>
    </border>
    <border>
      <left style="thin">
        <color theme="0" tint="-0.34998626667073579"/>
      </left>
      <right style="thin">
        <color theme="0" tint="-0.34998626667073579"/>
      </right>
      <top style="thin">
        <color indexed="64"/>
      </top>
      <bottom style="thin">
        <color indexed="64"/>
      </bottom>
      <diagonal/>
    </border>
    <border>
      <left style="thin">
        <color theme="1"/>
      </left>
      <right/>
      <top style="thin">
        <color indexed="64"/>
      </top>
      <bottom/>
      <diagonal/>
    </border>
    <border>
      <left/>
      <right style="thin">
        <color theme="1"/>
      </right>
      <top style="thin">
        <color indexed="64"/>
      </top>
      <bottom/>
      <diagonal/>
    </border>
    <border>
      <left style="thin">
        <color theme="0" tint="-0.34998626667073579"/>
      </left>
      <right style="thin">
        <color theme="1"/>
      </right>
      <top style="thin">
        <color indexed="64"/>
      </top>
      <bottom/>
      <diagonal/>
    </border>
    <border>
      <left style="thin">
        <color theme="0" tint="-0.34998626667073579"/>
      </left>
      <right style="thin">
        <color theme="1"/>
      </right>
      <top style="thin">
        <color theme="1"/>
      </top>
      <bottom style="thin">
        <color theme="0" tint="-0.3499862666707357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theme="0" tint="-0.34998626667073579"/>
      </right>
      <top style="thin">
        <color theme="0" tint="-0.34998626667073579"/>
      </top>
      <bottom/>
      <diagonal/>
    </border>
    <border>
      <left style="thin">
        <color theme="1"/>
      </left>
      <right style="thin">
        <color theme="1"/>
      </right>
      <top style="thin">
        <color theme="1"/>
      </top>
      <bottom style="thin">
        <color theme="1"/>
      </bottom>
      <diagonal/>
    </border>
    <border>
      <left style="thin">
        <color indexed="64"/>
      </left>
      <right/>
      <top style="thin">
        <color theme="1"/>
      </top>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bottom style="thin">
        <color theme="1"/>
      </bottom>
      <diagonal/>
    </border>
    <border>
      <left style="thin">
        <color indexed="64"/>
      </left>
      <right style="thin">
        <color theme="0" tint="-0.34998626667073579"/>
      </right>
      <top style="thin">
        <color theme="1"/>
      </top>
      <bottom style="thin">
        <color theme="0" tint="-0.34998626667073579"/>
      </bottom>
      <diagonal/>
    </border>
    <border>
      <left style="thin">
        <color theme="1"/>
      </left>
      <right/>
      <top style="thin">
        <color theme="0" tint="-0.34998626667073579"/>
      </top>
      <bottom style="thin">
        <color theme="0" tint="-0.34998626667073579"/>
      </bottom>
      <diagonal/>
    </border>
    <border>
      <left/>
      <right style="thin">
        <color theme="1"/>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top style="thin">
        <color theme="1"/>
      </top>
      <bottom style="thin">
        <color indexed="64"/>
      </bottom>
      <diagonal/>
    </border>
  </borders>
  <cellStyleXfs count="3">
    <xf numFmtId="0" fontId="0" fillId="0" borderId="0"/>
    <xf numFmtId="0" fontId="3" fillId="0" borderId="0"/>
    <xf numFmtId="0" fontId="6" fillId="0" borderId="0" applyNumberFormat="0" applyFill="0" applyBorder="0" applyAlignment="0" applyProtection="0"/>
  </cellStyleXfs>
  <cellXfs count="421">
    <xf numFmtId="0" fontId="0" fillId="0" borderId="0" xfId="0"/>
    <xf numFmtId="0" fontId="0" fillId="0" borderId="0" xfId="0" applyAlignment="1">
      <alignment vertical="center"/>
    </xf>
    <xf numFmtId="0" fontId="0" fillId="0" borderId="0" xfId="0" applyAlignment="1">
      <alignment vertical="center" wrapText="1"/>
    </xf>
    <xf numFmtId="0" fontId="0" fillId="0" borderId="0" xfId="0" quotePrefix="1" applyAlignment="1">
      <alignment horizontal="right" vertical="top"/>
    </xf>
    <xf numFmtId="0" fontId="0" fillId="0" borderId="0" xfId="0" applyAlignment="1">
      <alignment horizontal="right" vertical="top"/>
    </xf>
    <xf numFmtId="0" fontId="0" fillId="0" borderId="0" xfId="0" applyAlignment="1">
      <alignment horizontal="left" vertical="top"/>
    </xf>
    <xf numFmtId="0" fontId="0" fillId="0" borderId="0" xfId="0" applyAlignment="1">
      <alignment horizontal="left"/>
    </xf>
    <xf numFmtId="0" fontId="10" fillId="0" borderId="0" xfId="0" applyFont="1" applyAlignment="1">
      <alignment vertical="center"/>
    </xf>
    <xf numFmtId="0" fontId="0" fillId="0" borderId="0" xfId="0" applyAlignment="1">
      <alignment vertical="top" wrapText="1"/>
    </xf>
    <xf numFmtId="0" fontId="0" fillId="7" borderId="0" xfId="0" applyFill="1" applyAlignment="1">
      <alignment vertical="center" wrapText="1"/>
    </xf>
    <xf numFmtId="0" fontId="10" fillId="8" borderId="0" xfId="0" applyFont="1" applyFill="1" applyAlignment="1">
      <alignment vertical="center" wrapText="1"/>
    </xf>
    <xf numFmtId="0" fontId="0" fillId="2" borderId="0" xfId="0" applyFill="1"/>
    <xf numFmtId="0" fontId="0" fillId="2" borderId="0" xfId="0" applyFill="1" applyAlignment="1">
      <alignment vertical="center"/>
    </xf>
    <xf numFmtId="0" fontId="0" fillId="2" borderId="0" xfId="0" applyFill="1" applyAlignment="1">
      <alignment vertical="center" wrapText="1"/>
    </xf>
    <xf numFmtId="0" fontId="5" fillId="2" borderId="0" xfId="0" applyFont="1" applyFill="1"/>
    <xf numFmtId="0" fontId="5" fillId="0" borderId="0" xfId="0" applyFont="1" applyAlignment="1">
      <alignment vertical="center"/>
    </xf>
    <xf numFmtId="0" fontId="0" fillId="2" borderId="11" xfId="0" applyFill="1" applyBorder="1" applyAlignment="1">
      <alignmen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horizontal="left" wrapText="1"/>
    </xf>
    <xf numFmtId="6" fontId="0" fillId="2" borderId="0" xfId="0" applyNumberFormat="1" applyFill="1" applyAlignment="1">
      <alignment horizontal="left"/>
    </xf>
    <xf numFmtId="0" fontId="0" fillId="2" borderId="0" xfId="0" applyFill="1" applyAlignment="1">
      <alignment horizontal="left" vertical="center" indent="2"/>
    </xf>
    <xf numFmtId="0" fontId="0" fillId="2" borderId="0" xfId="0" applyFill="1" applyAlignment="1">
      <alignment horizontal="left" vertical="center" indent="4"/>
    </xf>
    <xf numFmtId="0" fontId="5" fillId="2" borderId="0" xfId="0" applyFont="1" applyFill="1" applyAlignment="1">
      <alignment vertical="center"/>
    </xf>
    <xf numFmtId="0" fontId="0" fillId="0" borderId="0" xfId="0" quotePrefix="1" applyAlignment="1">
      <alignment horizontal="right" vertical="top" wrapText="1"/>
    </xf>
    <xf numFmtId="0" fontId="0" fillId="0" borderId="0" xfId="0" applyAlignment="1">
      <alignment horizontal="right" vertical="center" wrapText="1"/>
    </xf>
    <xf numFmtId="0" fontId="10" fillId="7" borderId="0" xfId="0" applyFont="1" applyFill="1" applyAlignment="1">
      <alignment vertical="center"/>
    </xf>
    <xf numFmtId="49" fontId="0" fillId="2" borderId="0" xfId="0" applyNumberFormat="1" applyFill="1" applyAlignment="1">
      <alignment horizontal="left" vertical="top"/>
    </xf>
    <xf numFmtId="0" fontId="0" fillId="2" borderId="0" xfId="0" applyFill="1" applyAlignment="1">
      <alignment horizontal="left" vertical="top" wrapText="1"/>
    </xf>
    <xf numFmtId="49" fontId="0" fillId="0" borderId="0" xfId="0" applyNumberFormat="1" applyAlignment="1">
      <alignment horizontal="left" vertical="top" wrapText="1"/>
    </xf>
    <xf numFmtId="0" fontId="0" fillId="2" borderId="0" xfId="0" quotePrefix="1" applyFill="1" applyAlignment="1">
      <alignment horizontal="right" vertical="top" wrapText="1"/>
    </xf>
    <xf numFmtId="0" fontId="0" fillId="3" borderId="0" xfId="0" applyFill="1"/>
    <xf numFmtId="0" fontId="4" fillId="12" borderId="4" xfId="0" applyFont="1" applyFill="1" applyBorder="1" applyAlignment="1">
      <alignment vertical="center"/>
    </xf>
    <xf numFmtId="0" fontId="0" fillId="3" borderId="0" xfId="0" applyFill="1" applyAlignment="1">
      <alignment vertical="center"/>
    </xf>
    <xf numFmtId="0" fontId="0" fillId="3" borderId="0" xfId="0" applyFill="1" applyAlignment="1">
      <alignment vertical="top" wrapText="1"/>
    </xf>
    <xf numFmtId="0" fontId="0" fillId="15" borderId="0" xfId="0" applyFill="1"/>
    <xf numFmtId="0" fontId="0" fillId="15" borderId="0" xfId="0" applyFill="1" applyAlignment="1">
      <alignment vertical="center"/>
    </xf>
    <xf numFmtId="0" fontId="5" fillId="4" borderId="4" xfId="0" applyFont="1" applyFill="1" applyBorder="1" applyAlignment="1">
      <alignment vertical="center" wrapText="1"/>
    </xf>
    <xf numFmtId="0" fontId="5" fillId="16" borderId="0" xfId="0" applyFont="1" applyFill="1"/>
    <xf numFmtId="0" fontId="0" fillId="16" borderId="0" xfId="0" applyFill="1" applyAlignment="1">
      <alignment vertical="center"/>
    </xf>
    <xf numFmtId="0" fontId="0" fillId="16" borderId="0" xfId="0" applyFill="1" applyAlignment="1">
      <alignment vertical="center" wrapText="1"/>
    </xf>
    <xf numFmtId="0" fontId="0" fillId="16" borderId="0" xfId="0" applyFill="1" applyAlignment="1">
      <alignment vertical="top" wrapText="1"/>
    </xf>
    <xf numFmtId="0" fontId="5" fillId="16" borderId="0" xfId="0" applyFont="1" applyFill="1" applyAlignment="1">
      <alignment vertical="center"/>
    </xf>
    <xf numFmtId="0" fontId="0" fillId="16" borderId="0" xfId="0" applyFill="1"/>
    <xf numFmtId="49" fontId="0" fillId="16" borderId="0" xfId="0" applyNumberFormat="1" applyFill="1" applyAlignment="1">
      <alignment vertical="center"/>
    </xf>
    <xf numFmtId="49" fontId="6" fillId="16" borderId="0" xfId="2" applyNumberFormat="1" applyFill="1" applyAlignment="1">
      <alignment vertical="center"/>
    </xf>
    <xf numFmtId="0" fontId="6" fillId="16" borderId="0" xfId="2" applyFill="1"/>
    <xf numFmtId="49" fontId="0" fillId="16" borderId="0" xfId="0" applyNumberFormat="1" applyFill="1"/>
    <xf numFmtId="0" fontId="5" fillId="17" borderId="0" xfId="0" applyFont="1" applyFill="1"/>
    <xf numFmtId="0" fontId="0" fillId="17" borderId="0" xfId="0" applyFill="1"/>
    <xf numFmtId="0" fontId="0" fillId="17" borderId="0" xfId="0" applyFill="1" applyAlignment="1">
      <alignment vertical="top" wrapText="1"/>
    </xf>
    <xf numFmtId="49" fontId="5" fillId="15" borderId="0" xfId="0" applyNumberFormat="1" applyFont="1" applyFill="1" applyAlignment="1">
      <alignment vertical="center"/>
    </xf>
    <xf numFmtId="0" fontId="5" fillId="15" borderId="0" xfId="0" applyFont="1" applyFill="1" applyAlignment="1">
      <alignment vertical="center"/>
    </xf>
    <xf numFmtId="0" fontId="0" fillId="15" borderId="0" xfId="0" applyFill="1" applyAlignment="1">
      <alignment vertical="top"/>
    </xf>
    <xf numFmtId="0" fontId="0" fillId="15" borderId="0" xfId="0" applyFill="1" applyAlignment="1">
      <alignment vertical="top" wrapText="1"/>
    </xf>
    <xf numFmtId="49" fontId="5" fillId="15" borderId="0" xfId="0" applyNumberFormat="1" applyFont="1" applyFill="1" applyAlignment="1">
      <alignment horizontal="left" vertical="top"/>
    </xf>
    <xf numFmtId="0" fontId="5" fillId="15" borderId="0" xfId="0" applyFont="1" applyFill="1"/>
    <xf numFmtId="49" fontId="5" fillId="15" borderId="0" xfId="0" applyNumberFormat="1" applyFont="1" applyFill="1"/>
    <xf numFmtId="0" fontId="5" fillId="15" borderId="0" xfId="0" applyFont="1" applyFill="1" applyAlignment="1">
      <alignment vertical="top" wrapText="1"/>
    </xf>
    <xf numFmtId="0" fontId="5" fillId="15" borderId="0" xfId="0" applyFont="1" applyFill="1" applyAlignment="1">
      <alignment vertical="top"/>
    </xf>
    <xf numFmtId="0" fontId="5" fillId="15" borderId="0" xfId="0" applyFont="1" applyFill="1" applyAlignment="1">
      <alignment horizontal="left" vertical="top"/>
    </xf>
    <xf numFmtId="0" fontId="5" fillId="15" borderId="0" xfId="0" applyFont="1" applyFill="1" applyAlignment="1">
      <alignment horizontal="left"/>
    </xf>
    <xf numFmtId="0" fontId="17" fillId="15" borderId="0" xfId="2" applyFont="1" applyFill="1"/>
    <xf numFmtId="0" fontId="0" fillId="18" borderId="0" xfId="0" applyFill="1"/>
    <xf numFmtId="49" fontId="0" fillId="0" borderId="0" xfId="0" applyNumberFormat="1" applyAlignment="1">
      <alignment horizontal="right" vertical="center" wrapText="1"/>
    </xf>
    <xf numFmtId="0" fontId="0" fillId="19" borderId="0" xfId="0" applyFill="1"/>
    <xf numFmtId="0" fontId="0" fillId="17" borderId="0" xfId="0" applyFill="1" applyAlignment="1">
      <alignment vertical="center"/>
    </xf>
    <xf numFmtId="0" fontId="0" fillId="18" borderId="0" xfId="0" applyFill="1" applyAlignment="1">
      <alignment vertical="center"/>
    </xf>
    <xf numFmtId="0" fontId="0" fillId="18" borderId="0" xfId="0" applyFill="1" applyAlignment="1">
      <alignment vertical="top" wrapText="1"/>
    </xf>
    <xf numFmtId="0" fontId="0" fillId="2" borderId="0" xfId="0" applyFill="1" applyAlignment="1">
      <alignment vertical="top"/>
    </xf>
    <xf numFmtId="0" fontId="0" fillId="2" borderId="0" xfId="0" applyFill="1" applyAlignment="1">
      <alignment horizontal="right" vertical="top"/>
    </xf>
    <xf numFmtId="0" fontId="0" fillId="2" borderId="0" xfId="0" applyFill="1" applyAlignment="1">
      <alignment horizontal="left" vertical="top"/>
    </xf>
    <xf numFmtId="0" fontId="4" fillId="3" borderId="31" xfId="0" applyFont="1" applyFill="1" applyBorder="1" applyAlignment="1">
      <alignment horizontal="left" vertical="top" indent="1"/>
    </xf>
    <xf numFmtId="0" fontId="0" fillId="4" borderId="0" xfId="0" applyFill="1" applyAlignment="1">
      <alignment vertical="center" wrapText="1"/>
    </xf>
    <xf numFmtId="0" fontId="0" fillId="5" borderId="0" xfId="0" applyFill="1" applyAlignment="1">
      <alignment vertical="center" wrapText="1"/>
    </xf>
    <xf numFmtId="0" fontId="0" fillId="2" borderId="0" xfId="0" applyFill="1" applyAlignment="1">
      <alignment vertical="top" wrapText="1"/>
    </xf>
    <xf numFmtId="0" fontId="10" fillId="9" borderId="0" xfId="0" applyFont="1" applyFill="1" applyAlignment="1">
      <alignment vertical="center"/>
    </xf>
    <xf numFmtId="0" fontId="10" fillId="2" borderId="0" xfId="0" applyFont="1" applyFill="1" applyAlignment="1">
      <alignment vertical="center"/>
    </xf>
    <xf numFmtId="0" fontId="0" fillId="2" borderId="0" xfId="0" quotePrefix="1" applyFill="1" applyAlignment="1">
      <alignment horizontal="right" vertical="top"/>
    </xf>
    <xf numFmtId="49" fontId="0" fillId="2" borderId="0" xfId="0" applyNumberFormat="1" applyFill="1" applyAlignment="1">
      <alignment horizontal="left" vertical="top" wrapText="1"/>
    </xf>
    <xf numFmtId="49" fontId="0" fillId="2" borderId="0" xfId="0" applyNumberFormat="1" applyFill="1"/>
    <xf numFmtId="49" fontId="5" fillId="2" borderId="0" xfId="0" applyNumberFormat="1" applyFont="1" applyFill="1"/>
    <xf numFmtId="49" fontId="0" fillId="2" borderId="0" xfId="0" applyNumberFormat="1" applyFill="1" applyAlignment="1">
      <alignment wrapText="1"/>
    </xf>
    <xf numFmtId="49" fontId="5" fillId="2" borderId="0" xfId="0" applyNumberFormat="1" applyFont="1" applyFill="1" applyAlignment="1">
      <alignment horizontal="left" vertical="top"/>
    </xf>
    <xf numFmtId="0" fontId="5" fillId="2" borderId="0" xfId="0" applyFont="1" applyFill="1" applyAlignment="1">
      <alignment vertical="top"/>
    </xf>
    <xf numFmtId="0" fontId="5" fillId="2" borderId="0" xfId="0" applyFont="1" applyFill="1" applyAlignment="1">
      <alignment vertical="top" wrapText="1"/>
    </xf>
    <xf numFmtId="49" fontId="0" fillId="2" borderId="0" xfId="0" applyNumberFormat="1" applyFill="1" applyAlignment="1">
      <alignment vertical="center"/>
    </xf>
    <xf numFmtId="0" fontId="5" fillId="2" borderId="0" xfId="0" applyFont="1" applyFill="1" applyAlignment="1">
      <alignment horizontal="left" vertical="top" wrapText="1"/>
    </xf>
    <xf numFmtId="49" fontId="5" fillId="2" borderId="0" xfId="0" applyNumberFormat="1" applyFont="1" applyFill="1" applyAlignment="1">
      <alignment horizontal="left" vertical="top" wrapText="1"/>
    </xf>
    <xf numFmtId="0" fontId="5" fillId="2" borderId="0" xfId="0" applyFont="1" applyFill="1" applyAlignment="1">
      <alignment wrapText="1"/>
    </xf>
    <xf numFmtId="0" fontId="5" fillId="2" borderId="0" xfId="0" applyFont="1" applyFill="1" applyAlignment="1">
      <alignment horizontal="left" vertical="top"/>
    </xf>
    <xf numFmtId="0" fontId="5" fillId="2" borderId="3" xfId="0" applyFont="1" applyFill="1" applyBorder="1" applyAlignment="1">
      <alignment vertical="center"/>
    </xf>
    <xf numFmtId="0" fontId="4" fillId="2" borderId="0" xfId="0" applyFont="1" applyFill="1" applyAlignment="1">
      <alignment vertical="center" wrapText="1"/>
    </xf>
    <xf numFmtId="0" fontId="5" fillId="23" borderId="0" xfId="0" applyFont="1" applyFill="1"/>
    <xf numFmtId="0" fontId="5" fillId="23" borderId="0" xfId="0" applyFont="1" applyFill="1" applyAlignment="1">
      <alignment vertical="center"/>
    </xf>
    <xf numFmtId="0" fontId="5" fillId="23" borderId="0" xfId="0" applyFont="1" applyFill="1" applyAlignment="1">
      <alignment vertical="top"/>
    </xf>
    <xf numFmtId="0" fontId="0" fillId="23" borderId="0" xfId="0" applyFill="1" applyAlignment="1">
      <alignment vertical="top" wrapText="1"/>
    </xf>
    <xf numFmtId="0" fontId="5" fillId="24" borderId="0" xfId="0" applyFont="1" applyFill="1" applyAlignment="1">
      <alignment vertical="center"/>
    </xf>
    <xf numFmtId="0" fontId="0" fillId="24" borderId="0" xfId="0" applyFill="1"/>
    <xf numFmtId="0" fontId="0" fillId="24" borderId="0" xfId="0" applyFill="1" applyAlignment="1">
      <alignment vertical="top" wrapText="1"/>
    </xf>
    <xf numFmtId="0" fontId="5" fillId="24" borderId="0" xfId="0" applyFont="1" applyFill="1"/>
    <xf numFmtId="0" fontId="5" fillId="24" borderId="0" xfId="0" applyFont="1" applyFill="1" applyAlignment="1">
      <alignment vertical="top" wrapText="1"/>
    </xf>
    <xf numFmtId="0" fontId="5" fillId="24" borderId="0" xfId="0" applyFont="1" applyFill="1" applyAlignment="1">
      <alignment vertical="top"/>
    </xf>
    <xf numFmtId="0" fontId="8" fillId="2" borderId="0" xfId="0" applyFont="1" applyFill="1" applyAlignment="1">
      <alignment horizontal="justify" vertical="top" wrapText="1"/>
    </xf>
    <xf numFmtId="0" fontId="0" fillId="2" borderId="0" xfId="0" applyFill="1" applyAlignment="1">
      <alignment horizontal="right"/>
    </xf>
    <xf numFmtId="0" fontId="8" fillId="2" borderId="0" xfId="0" applyFont="1" applyFill="1" applyAlignment="1">
      <alignment horizontal="left" vertical="center"/>
    </xf>
    <xf numFmtId="0" fontId="8" fillId="2" borderId="0" xfId="0" applyFont="1" applyFill="1" applyAlignment="1">
      <alignment horizontal="left" vertical="top" wrapText="1"/>
    </xf>
    <xf numFmtId="0" fontId="7" fillId="2" borderId="0" xfId="0" applyFont="1" applyFill="1"/>
    <xf numFmtId="0" fontId="0" fillId="2" borderId="0" xfId="0" quotePrefix="1" applyFill="1" applyAlignment="1">
      <alignment horizontal="right"/>
    </xf>
    <xf numFmtId="0" fontId="0" fillId="2" borderId="0" xfId="0" quotePrefix="1" applyFill="1" applyAlignment="1">
      <alignment horizontal="left" vertical="top"/>
    </xf>
    <xf numFmtId="0" fontId="0" fillId="2" borderId="0" xfId="0" applyFill="1" applyAlignment="1">
      <alignment horizontal="left" vertical="center"/>
    </xf>
    <xf numFmtId="0" fontId="10" fillId="2" borderId="0" xfId="0" applyFont="1" applyFill="1" applyAlignment="1">
      <alignment horizontal="left" vertical="top" wrapText="1"/>
    </xf>
    <xf numFmtId="0" fontId="0" fillId="2" borderId="0" xfId="0" applyFill="1" applyAlignment="1">
      <alignment horizontal="left" vertical="top" indent="1"/>
    </xf>
    <xf numFmtId="0" fontId="0" fillId="2" borderId="0" xfId="0" quotePrefix="1" applyFill="1" applyAlignment="1">
      <alignment horizontal="left" indent="1"/>
    </xf>
    <xf numFmtId="0" fontId="12" fillId="2" borderId="0" xfId="0" applyFont="1" applyFill="1" applyAlignment="1">
      <alignment horizontal="left" vertical="center" indent="6"/>
    </xf>
    <xf numFmtId="0" fontId="13" fillId="2" borderId="0" xfId="0" applyFont="1" applyFill="1" applyAlignment="1">
      <alignment horizontal="left" vertical="top" wrapText="1"/>
    </xf>
    <xf numFmtId="0" fontId="13" fillId="2" borderId="0" xfId="0" applyFont="1" applyFill="1" applyAlignment="1">
      <alignment horizontal="left" vertical="center" indent="9"/>
    </xf>
    <xf numFmtId="0" fontId="14" fillId="2" borderId="0" xfId="0" applyFont="1" applyFill="1" applyAlignment="1">
      <alignment vertical="top" wrapText="1"/>
    </xf>
    <xf numFmtId="0" fontId="12" fillId="2" borderId="0" xfId="0" applyFont="1" applyFill="1" applyAlignment="1">
      <alignment horizontal="left" vertical="center" indent="9"/>
    </xf>
    <xf numFmtId="0" fontId="10" fillId="2" borderId="0" xfId="0" quotePrefix="1" applyFont="1" applyFill="1" applyAlignment="1">
      <alignment horizontal="right" vertical="top"/>
    </xf>
    <xf numFmtId="0" fontId="10" fillId="2" borderId="0" xfId="0" applyFont="1" applyFill="1" applyAlignment="1">
      <alignment horizontal="left" vertical="center"/>
    </xf>
    <xf numFmtId="0" fontId="10" fillId="2" borderId="0" xfId="0" quotePrefix="1" applyFont="1" applyFill="1" applyAlignment="1">
      <alignment horizontal="right" vertical="center"/>
    </xf>
    <xf numFmtId="0" fontId="0" fillId="2" borderId="0" xfId="0" applyFill="1" applyAlignment="1">
      <alignment horizontal="right" vertical="top" wrapText="1"/>
    </xf>
    <xf numFmtId="0" fontId="0" fillId="2" borderId="0" xfId="0" quotePrefix="1" applyFill="1" applyAlignment="1">
      <alignment horizontal="left" vertical="top" wrapText="1"/>
    </xf>
    <xf numFmtId="0" fontId="12" fillId="2" borderId="0" xfId="0" quotePrefix="1" applyFont="1" applyFill="1" applyAlignment="1">
      <alignment horizontal="left" vertical="center" indent="9"/>
    </xf>
    <xf numFmtId="0" fontId="0" fillId="2" borderId="0" xfId="0" quotePrefix="1" applyFill="1"/>
    <xf numFmtId="0" fontId="13" fillId="2" borderId="0" xfId="0" quotePrefix="1" applyFont="1" applyFill="1" applyAlignment="1">
      <alignment horizontal="left" vertical="center" indent="9"/>
    </xf>
    <xf numFmtId="0" fontId="19" fillId="2" borderId="0" xfId="0" applyFont="1" applyFill="1" applyAlignment="1">
      <alignment vertical="top" wrapText="1"/>
    </xf>
    <xf numFmtId="0" fontId="14" fillId="2" borderId="0" xfId="0" quotePrefix="1" applyFont="1" applyFill="1" applyAlignment="1">
      <alignment vertical="top" wrapText="1"/>
    </xf>
    <xf numFmtId="0" fontId="0" fillId="2" borderId="0" xfId="0" quotePrefix="1" applyFill="1" applyAlignment="1">
      <alignment vertical="top" wrapText="1"/>
    </xf>
    <xf numFmtId="0" fontId="8" fillId="2" borderId="0" xfId="0" quotePrefix="1" applyFont="1" applyFill="1" applyAlignment="1">
      <alignment horizontal="left" vertical="top" wrapText="1"/>
    </xf>
    <xf numFmtId="0" fontId="21" fillId="2" borderId="0" xfId="0" applyFont="1" applyFill="1" applyAlignment="1">
      <alignment horizontal="left" vertical="top" wrapText="1"/>
    </xf>
    <xf numFmtId="0" fontId="6" fillId="2" borderId="0" xfId="2" applyFill="1"/>
    <xf numFmtId="0" fontId="0" fillId="12" borderId="62" xfId="0" applyFill="1" applyBorder="1" applyAlignment="1">
      <alignment vertical="center"/>
    </xf>
    <xf numFmtId="0" fontId="0" fillId="12" borderId="63" xfId="0" applyFill="1" applyBorder="1" applyAlignment="1">
      <alignment vertical="center" wrapText="1"/>
    </xf>
    <xf numFmtId="0" fontId="0" fillId="12" borderId="61" xfId="0" applyFill="1" applyBorder="1" applyAlignment="1">
      <alignment vertical="top" wrapText="1"/>
    </xf>
    <xf numFmtId="0" fontId="7" fillId="2" borderId="0" xfId="0" applyFont="1" applyFill="1" applyAlignment="1">
      <alignment vertical="center"/>
    </xf>
    <xf numFmtId="0" fontId="6" fillId="2" borderId="0" xfId="2" applyFill="1" applyAlignment="1">
      <alignment horizontal="left" vertical="center" indent="1"/>
    </xf>
    <xf numFmtId="49" fontId="16" fillId="2" borderId="0" xfId="0" applyNumberFormat="1" applyFont="1" applyFill="1" applyAlignment="1">
      <alignment vertical="center"/>
    </xf>
    <xf numFmtId="0" fontId="16" fillId="2" borderId="0" xfId="0" applyFont="1" applyFill="1" applyAlignment="1">
      <alignment vertical="center"/>
    </xf>
    <xf numFmtId="49" fontId="6" fillId="2" borderId="0" xfId="2" applyNumberFormat="1" applyFill="1" applyAlignment="1">
      <alignment vertical="center"/>
    </xf>
    <xf numFmtId="0" fontId="0" fillId="2" borderId="0" xfId="0" quotePrefix="1" applyFill="1" applyAlignment="1">
      <alignment vertical="center" wrapText="1"/>
    </xf>
    <xf numFmtId="0" fontId="0" fillId="2" borderId="0" xfId="0" applyFill="1" applyAlignment="1">
      <alignment horizontal="right" vertical="center" wrapText="1"/>
    </xf>
    <xf numFmtId="0" fontId="0" fillId="2" borderId="0" xfId="0" quotePrefix="1" applyFill="1" applyAlignment="1">
      <alignment horizontal="right" vertical="center" wrapText="1"/>
    </xf>
    <xf numFmtId="0" fontId="0" fillId="2" borderId="0" xfId="0" quotePrefix="1" applyFill="1" applyAlignment="1">
      <alignment horizontal="right" vertical="center"/>
    </xf>
    <xf numFmtId="49" fontId="5" fillId="2" borderId="0" xfId="0" applyNumberFormat="1" applyFont="1" applyFill="1" applyAlignment="1">
      <alignment vertical="center"/>
    </xf>
    <xf numFmtId="0" fontId="0" fillId="2" borderId="0" xfId="0" applyFill="1" applyAlignment="1">
      <alignment horizontal="right" vertical="center"/>
    </xf>
    <xf numFmtId="0" fontId="5" fillId="2" borderId="0" xfId="0" applyFont="1" applyFill="1" applyAlignment="1">
      <alignment horizontal="right" vertical="top"/>
    </xf>
    <xf numFmtId="0" fontId="0" fillId="2" borderId="0" xfId="0" quotePrefix="1" applyFill="1" applyAlignment="1">
      <alignment vertical="top"/>
    </xf>
    <xf numFmtId="0" fontId="20" fillId="2" borderId="0" xfId="0" applyFont="1" applyFill="1" applyAlignment="1">
      <alignment vertical="center" wrapText="1"/>
    </xf>
    <xf numFmtId="0" fontId="10" fillId="2" borderId="0" xfId="0" applyFont="1" applyFill="1" applyAlignment="1">
      <alignment vertical="top"/>
    </xf>
    <xf numFmtId="0" fontId="10" fillId="2" borderId="0" xfId="0" applyFont="1" applyFill="1" applyAlignment="1">
      <alignment vertical="top" wrapText="1"/>
    </xf>
    <xf numFmtId="49" fontId="0" fillId="2" borderId="0" xfId="0" applyNumberFormat="1" applyFill="1" applyAlignment="1">
      <alignment vertical="top" wrapText="1"/>
    </xf>
    <xf numFmtId="0" fontId="7" fillId="2" borderId="0" xfId="0" applyFont="1" applyFill="1" applyAlignment="1">
      <alignment vertical="top" wrapText="1"/>
    </xf>
    <xf numFmtId="0" fontId="21" fillId="2" borderId="0" xfId="0" applyFont="1" applyFill="1" applyAlignment="1">
      <alignment vertical="top" wrapText="1"/>
    </xf>
    <xf numFmtId="0" fontId="24" fillId="2" borderId="0" xfId="0" applyFont="1" applyFill="1"/>
    <xf numFmtId="0" fontId="25" fillId="20" borderId="0" xfId="0" applyFont="1" applyFill="1" applyAlignment="1">
      <alignment vertical="center"/>
    </xf>
    <xf numFmtId="0" fontId="25" fillId="20" borderId="7" xfId="0" applyFont="1" applyFill="1" applyBorder="1" applyAlignment="1">
      <alignment horizontal="left" vertical="center" wrapText="1" indent="1"/>
    </xf>
    <xf numFmtId="0" fontId="24" fillId="20" borderId="0" xfId="0" quotePrefix="1" applyFont="1" applyFill="1" applyAlignment="1">
      <alignment horizontal="right" vertical="top" wrapText="1"/>
    </xf>
    <xf numFmtId="0" fontId="24" fillId="20" borderId="7" xfId="0" applyFont="1" applyFill="1" applyBorder="1" applyAlignment="1">
      <alignment horizontal="left" vertical="top" wrapText="1" indent="1"/>
    </xf>
    <xf numFmtId="0" fontId="25" fillId="21" borderId="30" xfId="0" applyFont="1" applyFill="1" applyBorder="1" applyAlignment="1">
      <alignment horizontal="center" vertical="center"/>
    </xf>
    <xf numFmtId="0" fontId="24" fillId="21" borderId="1" xfId="0" applyFont="1" applyFill="1" applyBorder="1" applyAlignment="1">
      <alignment vertical="center" wrapText="1"/>
    </xf>
    <xf numFmtId="0" fontId="24" fillId="20" borderId="1" xfId="0" quotePrefix="1" applyFont="1" applyFill="1" applyBorder="1" applyAlignment="1">
      <alignment horizontal="right" vertical="top" wrapText="1"/>
    </xf>
    <xf numFmtId="0" fontId="24" fillId="20" borderId="27" xfId="0" applyFont="1" applyFill="1" applyBorder="1" applyAlignment="1">
      <alignment horizontal="left" vertical="top" wrapText="1" indent="1"/>
    </xf>
    <xf numFmtId="0" fontId="25" fillId="21" borderId="48" xfId="0" applyFont="1" applyFill="1" applyBorder="1" applyAlignment="1">
      <alignment horizontal="center" vertical="center"/>
    </xf>
    <xf numFmtId="0" fontId="24" fillId="21" borderId="46" xfId="0" applyFont="1" applyFill="1" applyBorder="1" applyAlignment="1">
      <alignment vertical="center"/>
    </xf>
    <xf numFmtId="0" fontId="25" fillId="20" borderId="46" xfId="0" applyFont="1" applyFill="1" applyBorder="1" applyAlignment="1">
      <alignment vertical="center"/>
    </xf>
    <xf numFmtId="0" fontId="25" fillId="20" borderId="49" xfId="0" applyFont="1" applyFill="1" applyBorder="1" applyAlignment="1">
      <alignment horizontal="left" vertical="center" wrapText="1" indent="1"/>
    </xf>
    <xf numFmtId="0" fontId="25" fillId="21" borderId="31" xfId="0" applyFont="1" applyFill="1" applyBorder="1" applyAlignment="1">
      <alignment horizontal="center" vertical="center"/>
    </xf>
    <xf numFmtId="0" fontId="24" fillId="21" borderId="10" xfId="0" applyFont="1" applyFill="1" applyBorder="1" applyAlignment="1">
      <alignment vertical="center"/>
    </xf>
    <xf numFmtId="0" fontId="24" fillId="20" borderId="10" xfId="0" applyFont="1" applyFill="1" applyBorder="1" applyAlignment="1">
      <alignment vertical="center"/>
    </xf>
    <xf numFmtId="0" fontId="24" fillId="20" borderId="26" xfId="0" applyFont="1" applyFill="1" applyBorder="1" applyAlignment="1">
      <alignment horizontal="left" vertical="center" indent="1"/>
    </xf>
    <xf numFmtId="0" fontId="24" fillId="20" borderId="46" xfId="0" applyFont="1" applyFill="1" applyBorder="1" applyAlignment="1">
      <alignment vertical="center"/>
    </xf>
    <xf numFmtId="0" fontId="24" fillId="20" borderId="49" xfId="0" applyFont="1" applyFill="1" applyBorder="1" applyAlignment="1">
      <alignment horizontal="left" vertical="center" indent="1"/>
    </xf>
    <xf numFmtId="0" fontId="25" fillId="22" borderId="52" xfId="0" applyFont="1" applyFill="1" applyBorder="1" applyAlignment="1">
      <alignment vertical="center"/>
    </xf>
    <xf numFmtId="0" fontId="25" fillId="22" borderId="10" xfId="0" applyFont="1" applyFill="1" applyBorder="1" applyAlignment="1">
      <alignment vertical="center"/>
    </xf>
    <xf numFmtId="0" fontId="24" fillId="22" borderId="10" xfId="0" applyFont="1" applyFill="1" applyBorder="1"/>
    <xf numFmtId="0" fontId="24" fillId="22" borderId="53" xfId="0" applyFont="1" applyFill="1" applyBorder="1" applyAlignment="1">
      <alignment horizontal="left" vertical="center" wrapText="1"/>
    </xf>
    <xf numFmtId="0" fontId="24" fillId="20" borderId="52" xfId="0" applyFont="1" applyFill="1" applyBorder="1"/>
    <xf numFmtId="0" fontId="24" fillId="20" borderId="53" xfId="0" applyFont="1" applyFill="1" applyBorder="1" applyAlignment="1">
      <alignment horizontal="left" vertical="top" wrapText="1"/>
    </xf>
    <xf numFmtId="0" fontId="24" fillId="20" borderId="53" xfId="0" applyFont="1" applyFill="1" applyBorder="1" applyAlignment="1">
      <alignment horizontal="left" vertical="center" wrapText="1"/>
    </xf>
    <xf numFmtId="0" fontId="24" fillId="22" borderId="52" xfId="0" applyFont="1" applyFill="1" applyBorder="1" applyAlignment="1">
      <alignment vertical="center"/>
    </xf>
    <xf numFmtId="0" fontId="24" fillId="22" borderId="10" xfId="0" applyFont="1" applyFill="1" applyBorder="1" applyAlignment="1">
      <alignment vertical="center"/>
    </xf>
    <xf numFmtId="0" fontId="24" fillId="22" borderId="53" xfId="0" applyFont="1" applyFill="1" applyBorder="1" applyAlignment="1">
      <alignment vertical="center"/>
    </xf>
    <xf numFmtId="0" fontId="24" fillId="22" borderId="52" xfId="0" applyFont="1" applyFill="1" applyBorder="1"/>
    <xf numFmtId="0" fontId="24" fillId="22" borderId="53" xfId="0" applyFont="1" applyFill="1" applyBorder="1"/>
    <xf numFmtId="0" fontId="30" fillId="3" borderId="0" xfId="0" applyFont="1" applyFill="1"/>
    <xf numFmtId="0" fontId="1" fillId="22" borderId="10" xfId="0" applyFont="1" applyFill="1" applyBorder="1" applyAlignment="1">
      <alignment vertical="center"/>
    </xf>
    <xf numFmtId="0" fontId="1" fillId="22" borderId="10" xfId="0" applyFont="1" applyFill="1" applyBorder="1"/>
    <xf numFmtId="0" fontId="29" fillId="12" borderId="3" xfId="0" applyFont="1" applyFill="1" applyBorder="1" applyAlignment="1">
      <alignment horizontal="left" vertical="center" indent="1"/>
    </xf>
    <xf numFmtId="0" fontId="29" fillId="12" borderId="4" xfId="0" applyFont="1" applyFill="1" applyBorder="1" applyAlignment="1">
      <alignment horizontal="left" vertical="center" indent="1"/>
    </xf>
    <xf numFmtId="0" fontId="29" fillId="12" borderId="5" xfId="0" applyFont="1" applyFill="1" applyBorder="1" applyAlignment="1">
      <alignment horizontal="left" vertical="center" indent="1"/>
    </xf>
    <xf numFmtId="0" fontId="30" fillId="3" borderId="53" xfId="0" applyFont="1" applyFill="1" applyBorder="1" applyAlignment="1">
      <alignment horizontal="left" vertical="center" wrapText="1"/>
    </xf>
    <xf numFmtId="0" fontId="30" fillId="3" borderId="31" xfId="0" applyFont="1" applyFill="1" applyBorder="1" applyAlignment="1">
      <alignment horizontal="left" vertical="center" indent="1"/>
    </xf>
    <xf numFmtId="0" fontId="24" fillId="2" borderId="0" xfId="0" applyFont="1" applyFill="1" applyAlignment="1">
      <alignment vertical="center"/>
    </xf>
    <xf numFmtId="0" fontId="24" fillId="2" borderId="0" xfId="0" applyFont="1" applyFill="1" applyAlignment="1">
      <alignment vertical="center" wrapText="1"/>
    </xf>
    <xf numFmtId="0" fontId="15" fillId="3" borderId="0" xfId="0" applyFont="1" applyFill="1" applyAlignment="1">
      <alignment vertical="center"/>
    </xf>
    <xf numFmtId="0" fontId="15" fillId="3" borderId="0" xfId="0" applyFont="1" applyFill="1" applyAlignment="1">
      <alignment vertical="center" wrapText="1"/>
    </xf>
    <xf numFmtId="0" fontId="15" fillId="3" borderId="0" xfId="0" applyFont="1" applyFill="1"/>
    <xf numFmtId="0" fontId="15" fillId="12" borderId="4" xfId="0" applyFont="1" applyFill="1" applyBorder="1" applyAlignment="1">
      <alignment vertical="center"/>
    </xf>
    <xf numFmtId="0" fontId="24" fillId="12" borderId="5" xfId="0" applyFont="1" applyFill="1" applyBorder="1"/>
    <xf numFmtId="0" fontId="25" fillId="2" borderId="0" xfId="0" applyFont="1" applyFill="1" applyAlignment="1">
      <alignment vertical="center"/>
    </xf>
    <xf numFmtId="0" fontId="25" fillId="2" borderId="57" xfId="0" applyFont="1" applyFill="1" applyBorder="1" applyAlignment="1">
      <alignment horizontal="right" vertical="center"/>
    </xf>
    <xf numFmtId="0" fontId="24" fillId="5" borderId="11" xfId="0" applyFont="1" applyFill="1" applyBorder="1" applyAlignment="1" applyProtection="1">
      <alignment horizontal="left" vertical="center"/>
      <protection locked="0"/>
    </xf>
    <xf numFmtId="0" fontId="25" fillId="2" borderId="11" xfId="0" applyFont="1" applyFill="1" applyBorder="1" applyAlignment="1">
      <alignment horizontal="right" vertical="center"/>
    </xf>
    <xf numFmtId="0" fontId="24" fillId="5" borderId="13" xfId="0" applyFont="1" applyFill="1" applyBorder="1" applyAlignment="1" applyProtection="1">
      <alignment horizontal="left" vertical="center"/>
      <protection locked="0"/>
    </xf>
    <xf numFmtId="0" fontId="25" fillId="2" borderId="58" xfId="0" applyFont="1" applyFill="1" applyBorder="1" applyAlignment="1">
      <alignment horizontal="right" vertical="center"/>
    </xf>
    <xf numFmtId="0" fontId="24" fillId="5" borderId="14" xfId="0" applyFont="1" applyFill="1" applyBorder="1" applyAlignment="1" applyProtection="1">
      <alignment horizontal="left" vertical="center"/>
      <protection locked="0"/>
    </xf>
    <xf numFmtId="0" fontId="25" fillId="2" borderId="21" xfId="0" applyFont="1" applyFill="1" applyBorder="1" applyAlignment="1">
      <alignment horizontal="right" vertical="center"/>
    </xf>
    <xf numFmtId="0" fontId="24" fillId="5" borderId="9" xfId="0" applyFont="1" applyFill="1" applyBorder="1" applyAlignment="1" applyProtection="1">
      <alignment horizontal="left" vertical="center"/>
      <protection locked="0"/>
    </xf>
    <xf numFmtId="0" fontId="25" fillId="16" borderId="42" xfId="0" applyFont="1" applyFill="1" applyBorder="1" applyAlignment="1">
      <alignment horizontal="left" textRotation="90" wrapText="1"/>
    </xf>
    <xf numFmtId="0" fontId="24" fillId="2" borderId="0" xfId="0" applyFont="1" applyFill="1" applyAlignment="1">
      <alignment textRotation="75"/>
    </xf>
    <xf numFmtId="0" fontId="25" fillId="4" borderId="18" xfId="0" applyFont="1" applyFill="1" applyBorder="1" applyAlignment="1">
      <alignment vertical="center"/>
    </xf>
    <xf numFmtId="0" fontId="25" fillId="4" borderId="40" xfId="0" applyFont="1" applyFill="1" applyBorder="1" applyAlignment="1">
      <alignment vertical="center"/>
    </xf>
    <xf numFmtId="0" fontId="25" fillId="16" borderId="22" xfId="0" applyFont="1" applyFill="1" applyBorder="1" applyAlignment="1">
      <alignment vertical="center"/>
    </xf>
    <xf numFmtId="0" fontId="25" fillId="16" borderId="22" xfId="0" applyFont="1" applyFill="1" applyBorder="1" applyAlignment="1">
      <alignment vertical="center" wrapText="1"/>
    </xf>
    <xf numFmtId="0" fontId="25" fillId="16" borderId="37" xfId="0" applyFont="1" applyFill="1" applyBorder="1" applyAlignment="1">
      <alignment horizontal="center" textRotation="90"/>
    </xf>
    <xf numFmtId="0" fontId="24" fillId="2" borderId="0" xfId="0" applyFont="1" applyFill="1" applyAlignment="1">
      <alignment vertical="top" textRotation="90" wrapText="1"/>
    </xf>
    <xf numFmtId="0" fontId="24" fillId="4" borderId="60" xfId="0" applyFont="1" applyFill="1" applyBorder="1" applyAlignment="1">
      <alignment vertical="center"/>
    </xf>
    <xf numFmtId="0" fontId="24" fillId="4" borderId="59" xfId="0" applyFont="1" applyFill="1" applyBorder="1" applyAlignment="1">
      <alignment vertical="center"/>
    </xf>
    <xf numFmtId="0" fontId="25" fillId="15" borderId="33" xfId="0" applyFont="1" applyFill="1" applyBorder="1" applyAlignment="1">
      <alignment vertical="center"/>
    </xf>
    <xf numFmtId="0" fontId="24" fillId="15" borderId="24" xfId="0" applyFont="1" applyFill="1" applyBorder="1" applyAlignment="1">
      <alignment vertical="center" wrapText="1"/>
    </xf>
    <xf numFmtId="0" fontId="24" fillId="15" borderId="24" xfId="0" applyFont="1" applyFill="1" applyBorder="1"/>
    <xf numFmtId="0" fontId="25" fillId="15" borderId="24" xfId="0" applyFont="1" applyFill="1" applyBorder="1" applyAlignment="1">
      <alignment horizontal="center" textRotation="90"/>
    </xf>
    <xf numFmtId="0" fontId="24" fillId="15" borderId="24" xfId="0" applyFont="1" applyFill="1" applyBorder="1" applyAlignment="1">
      <alignment horizontal="center" vertical="center"/>
    </xf>
    <xf numFmtId="0" fontId="24" fillId="15" borderId="25" xfId="0" applyFont="1" applyFill="1" applyBorder="1"/>
    <xf numFmtId="0" fontId="24" fillId="4" borderId="60" xfId="0" applyFont="1" applyFill="1" applyBorder="1" applyAlignment="1">
      <alignment vertical="center" wrapText="1"/>
    </xf>
    <xf numFmtId="0" fontId="24" fillId="4" borderId="57" xfId="0" applyFont="1" applyFill="1" applyBorder="1" applyAlignment="1">
      <alignment vertical="center"/>
    </xf>
    <xf numFmtId="0" fontId="24" fillId="0" borderId="28" xfId="0" applyFont="1" applyBorder="1" applyAlignment="1">
      <alignment vertical="center" wrapText="1"/>
    </xf>
    <xf numFmtId="0" fontId="24" fillId="4" borderId="28" xfId="0" applyFont="1" applyFill="1" applyBorder="1" applyAlignment="1">
      <alignment vertical="center" wrapText="1"/>
    </xf>
    <xf numFmtId="0" fontId="25" fillId="16" borderId="0" xfId="0" applyFont="1" applyFill="1" applyAlignment="1">
      <alignment horizontal="center" textRotation="90"/>
    </xf>
    <xf numFmtId="0" fontId="24" fillId="13" borderId="23" xfId="0" applyFont="1" applyFill="1" applyBorder="1" applyAlignment="1">
      <alignment horizontal="center" vertical="center"/>
    </xf>
    <xf numFmtId="0" fontId="24" fillId="2" borderId="39" xfId="0" applyFont="1" applyFill="1" applyBorder="1" applyAlignment="1">
      <alignment horizontal="center" vertical="center"/>
    </xf>
    <xf numFmtId="0" fontId="24" fillId="2" borderId="28" xfId="0" applyFont="1" applyFill="1" applyBorder="1" applyAlignment="1">
      <alignment horizontal="center" vertical="center"/>
    </xf>
    <xf numFmtId="0" fontId="24" fillId="2" borderId="38" xfId="0" applyFont="1" applyFill="1" applyBorder="1" applyAlignment="1">
      <alignment horizontal="center" vertical="center"/>
    </xf>
    <xf numFmtId="0" fontId="24" fillId="2" borderId="0" xfId="0" applyFont="1" applyFill="1" applyAlignment="1">
      <alignment horizontal="center" vertical="center"/>
    </xf>
    <xf numFmtId="0" fontId="24" fillId="0" borderId="11" xfId="0" applyFont="1" applyBorder="1" applyAlignment="1">
      <alignment vertical="center" wrapText="1"/>
    </xf>
    <xf numFmtId="0" fontId="24" fillId="4" borderId="11" xfId="0" applyFont="1" applyFill="1" applyBorder="1" applyAlignment="1">
      <alignment vertical="center" wrapText="1"/>
    </xf>
    <xf numFmtId="0" fontId="24" fillId="13" borderId="22" xfId="0" applyFont="1" applyFill="1" applyBorder="1" applyAlignment="1">
      <alignment horizontal="center" vertical="center"/>
    </xf>
    <xf numFmtId="0" fontId="24" fillId="2" borderId="29"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13" xfId="0" applyFont="1" applyFill="1" applyBorder="1" applyAlignment="1">
      <alignment horizontal="center" vertical="center"/>
    </xf>
    <xf numFmtId="0" fontId="24" fillId="13" borderId="28" xfId="0" applyFont="1" applyFill="1" applyBorder="1" applyAlignment="1">
      <alignment horizontal="center" vertical="center"/>
    </xf>
    <xf numFmtId="0" fontId="32" fillId="15" borderId="24" xfId="0" applyFont="1" applyFill="1" applyBorder="1"/>
    <xf numFmtId="0" fontId="32" fillId="15" borderId="24" xfId="0" applyFont="1" applyFill="1" applyBorder="1" applyAlignment="1">
      <alignment horizontal="center" vertical="center"/>
    </xf>
    <xf numFmtId="0" fontId="32" fillId="15" borderId="25" xfId="0" applyFont="1" applyFill="1" applyBorder="1" applyAlignment="1">
      <alignment horizontal="center" vertical="center"/>
    </xf>
    <xf numFmtId="0" fontId="33" fillId="14" borderId="60" xfId="0" applyFont="1" applyFill="1" applyBorder="1" applyAlignment="1">
      <alignment vertical="center"/>
    </xf>
    <xf numFmtId="0" fontId="33" fillId="4" borderId="57" xfId="0" applyFont="1" applyFill="1" applyBorder="1" applyAlignment="1">
      <alignment vertical="center"/>
    </xf>
    <xf numFmtId="0" fontId="24" fillId="5" borderId="11" xfId="0" applyFont="1" applyFill="1" applyBorder="1" applyAlignment="1" applyProtection="1">
      <alignment vertical="center" wrapText="1"/>
      <protection locked="0"/>
    </xf>
    <xf numFmtId="0" fontId="24" fillId="4" borderId="33" xfId="0" applyFont="1" applyFill="1" applyBorder="1"/>
    <xf numFmtId="0" fontId="32" fillId="16" borderId="23" xfId="0" applyFont="1" applyFill="1" applyBorder="1"/>
    <xf numFmtId="0" fontId="24" fillId="0" borderId="60" xfId="0" applyFont="1" applyBorder="1" applyAlignment="1">
      <alignment vertical="center"/>
    </xf>
    <xf numFmtId="0" fontId="24" fillId="0" borderId="57" xfId="0" applyFont="1" applyBorder="1" applyAlignment="1">
      <alignment vertical="center"/>
    </xf>
    <xf numFmtId="0" fontId="24" fillId="4" borderId="33" xfId="0" applyFont="1" applyFill="1" applyBorder="1" applyAlignment="1">
      <alignment vertical="center"/>
    </xf>
    <xf numFmtId="0" fontId="32" fillId="16" borderId="22" xfId="0" applyFont="1" applyFill="1" applyBorder="1"/>
    <xf numFmtId="0" fontId="24" fillId="4" borderId="33" xfId="0" applyFont="1" applyFill="1" applyBorder="1" applyAlignment="1">
      <alignment vertical="center" wrapText="1"/>
    </xf>
    <xf numFmtId="0" fontId="33" fillId="14" borderId="60" xfId="0" applyFont="1" applyFill="1" applyBorder="1" applyAlignment="1">
      <alignment vertical="center" wrapText="1"/>
    </xf>
    <xf numFmtId="0" fontId="33" fillId="6" borderId="60" xfId="0" applyFont="1" applyFill="1" applyBorder="1" applyAlignment="1">
      <alignment vertical="center"/>
    </xf>
    <xf numFmtId="0" fontId="33" fillId="0" borderId="57" xfId="0" applyFont="1" applyBorder="1" applyAlignment="1">
      <alignment vertical="center"/>
    </xf>
    <xf numFmtId="0" fontId="24" fillId="0" borderId="11" xfId="0" applyFont="1" applyBorder="1" applyAlignment="1">
      <alignment horizontal="right" vertical="center" wrapText="1"/>
    </xf>
    <xf numFmtId="0" fontId="24" fillId="16" borderId="22" xfId="0" applyFont="1" applyFill="1" applyBorder="1" applyAlignment="1">
      <alignment wrapText="1"/>
    </xf>
    <xf numFmtId="0" fontId="24" fillId="16" borderId="22" xfId="0" applyFont="1" applyFill="1" applyBorder="1"/>
    <xf numFmtId="0" fontId="24" fillId="2" borderId="35" xfId="0" applyFont="1" applyFill="1" applyBorder="1" applyAlignment="1">
      <alignment horizontal="center" vertical="center"/>
    </xf>
    <xf numFmtId="0" fontId="24" fillId="2" borderId="23" xfId="0" applyFont="1" applyFill="1" applyBorder="1" applyAlignment="1">
      <alignment horizontal="center" vertical="center"/>
    </xf>
    <xf numFmtId="0" fontId="32" fillId="15" borderId="24" xfId="0" applyFont="1" applyFill="1" applyBorder="1" applyAlignment="1">
      <alignment vertical="center"/>
    </xf>
    <xf numFmtId="0" fontId="24" fillId="15" borderId="25" xfId="0" applyFont="1" applyFill="1" applyBorder="1" applyAlignment="1">
      <alignment horizontal="center" vertical="center"/>
    </xf>
    <xf numFmtId="0" fontId="34" fillId="16" borderId="23" xfId="0" applyFont="1" applyFill="1" applyBorder="1" applyAlignment="1">
      <alignment horizontal="left"/>
    </xf>
    <xf numFmtId="0" fontId="35" fillId="2" borderId="28" xfId="0" applyFont="1" applyFill="1" applyBorder="1" applyAlignment="1">
      <alignment horizontal="center" vertical="center"/>
    </xf>
    <xf numFmtId="0" fontId="25" fillId="16" borderId="22" xfId="0" applyFont="1" applyFill="1" applyBorder="1" applyAlignment="1">
      <alignment horizontal="center" textRotation="90"/>
    </xf>
    <xf numFmtId="0" fontId="35" fillId="2" borderId="11" xfId="0" applyFont="1" applyFill="1" applyBorder="1" applyAlignment="1">
      <alignment horizontal="center" vertical="center"/>
    </xf>
    <xf numFmtId="49" fontId="36" fillId="13" borderId="22" xfId="0" applyNumberFormat="1" applyFont="1" applyFill="1" applyBorder="1" applyAlignment="1">
      <alignment horizontal="center" vertical="center" wrapText="1"/>
    </xf>
    <xf numFmtId="49" fontId="36" fillId="2" borderId="29" xfId="0" applyNumberFormat="1" applyFont="1" applyFill="1" applyBorder="1" applyAlignment="1">
      <alignment horizontal="center" vertical="center" wrapText="1"/>
    </xf>
    <xf numFmtId="49" fontId="36" fillId="2" borderId="11" xfId="0" applyNumberFormat="1" applyFont="1" applyFill="1" applyBorder="1" applyAlignment="1">
      <alignment horizontal="center" vertical="center" wrapText="1"/>
    </xf>
    <xf numFmtId="49" fontId="35" fillId="2" borderId="11" xfId="0" applyNumberFormat="1" applyFont="1" applyFill="1" applyBorder="1" applyAlignment="1">
      <alignment horizontal="center" vertical="center" wrapText="1"/>
    </xf>
    <xf numFmtId="0" fontId="35" fillId="2" borderId="11" xfId="0" applyFont="1" applyFill="1" applyBorder="1" applyAlignment="1">
      <alignment horizontal="center" vertical="center" wrapText="1"/>
    </xf>
    <xf numFmtId="0" fontId="33" fillId="6" borderId="60" xfId="0" applyFont="1" applyFill="1" applyBorder="1" applyAlignment="1">
      <alignment vertical="center" wrapText="1"/>
    </xf>
    <xf numFmtId="0" fontId="36" fillId="2" borderId="11" xfId="0" applyFont="1" applyFill="1" applyBorder="1" applyAlignment="1">
      <alignment horizontal="center" vertical="center" wrapText="1"/>
    </xf>
    <xf numFmtId="0" fontId="33" fillId="0" borderId="60" xfId="0" applyFont="1" applyBorder="1" applyAlignment="1">
      <alignment vertical="center"/>
    </xf>
    <xf numFmtId="0" fontId="33" fillId="2" borderId="57" xfId="0" applyFont="1" applyFill="1" applyBorder="1" applyAlignment="1">
      <alignment vertical="center"/>
    </xf>
    <xf numFmtId="0" fontId="33" fillId="9" borderId="60" xfId="0" applyFont="1" applyFill="1" applyBorder="1" applyAlignment="1">
      <alignment vertical="center"/>
    </xf>
    <xf numFmtId="0" fontId="24" fillId="2" borderId="32" xfId="0" applyFont="1" applyFill="1" applyBorder="1" applyAlignment="1">
      <alignment horizontal="center" vertical="center"/>
    </xf>
    <xf numFmtId="0" fontId="25" fillId="16" borderId="28" xfId="0" applyFont="1" applyFill="1" applyBorder="1" applyAlignment="1">
      <alignment horizontal="center" textRotation="90"/>
    </xf>
    <xf numFmtId="0" fontId="25" fillId="15" borderId="33" xfId="0" applyFont="1" applyFill="1" applyBorder="1" applyAlignment="1">
      <alignment vertical="center" wrapText="1"/>
    </xf>
    <xf numFmtId="0" fontId="24" fillId="2" borderId="29" xfId="0" applyFont="1" applyFill="1" applyBorder="1" applyAlignment="1">
      <alignment vertical="center" wrapText="1"/>
    </xf>
    <xf numFmtId="0" fontId="24" fillId="4" borderId="11" xfId="0" applyFont="1" applyFill="1" applyBorder="1" applyAlignment="1">
      <alignment vertical="center"/>
    </xf>
    <xf numFmtId="0" fontId="24" fillId="0" borderId="0" xfId="0" applyFont="1" applyAlignment="1">
      <alignment wrapText="1"/>
    </xf>
    <xf numFmtId="0" fontId="24" fillId="15" borderId="24" xfId="0" applyFont="1" applyFill="1" applyBorder="1" applyAlignment="1">
      <alignment vertical="center"/>
    </xf>
    <xf numFmtId="0" fontId="25" fillId="16" borderId="23" xfId="0" applyFont="1" applyFill="1" applyBorder="1" applyAlignment="1">
      <alignment horizontal="center" textRotation="90"/>
    </xf>
    <xf numFmtId="0" fontId="24" fillId="2" borderId="57" xfId="0" applyFont="1" applyFill="1" applyBorder="1" applyAlignment="1">
      <alignment vertical="center"/>
    </xf>
    <xf numFmtId="0" fontId="25" fillId="0" borderId="11" xfId="0" applyFont="1" applyBorder="1" applyAlignment="1">
      <alignment vertical="center" wrapText="1"/>
    </xf>
    <xf numFmtId="0" fontId="24" fillId="13" borderId="23" xfId="0" applyFont="1" applyFill="1" applyBorder="1"/>
    <xf numFmtId="0" fontId="24" fillId="2" borderId="29" xfId="0" applyFont="1" applyFill="1" applyBorder="1"/>
    <xf numFmtId="0" fontId="24" fillId="2" borderId="11" xfId="0" applyFont="1" applyFill="1" applyBorder="1"/>
    <xf numFmtId="0" fontId="24" fillId="2" borderId="13" xfId="0" applyFont="1" applyFill="1" applyBorder="1"/>
    <xf numFmtId="0" fontId="24" fillId="13" borderId="22" xfId="0" applyFont="1" applyFill="1" applyBorder="1"/>
    <xf numFmtId="0" fontId="35" fillId="13" borderId="22" xfId="0" applyFont="1" applyFill="1" applyBorder="1" applyAlignment="1">
      <alignment horizontal="center"/>
    </xf>
    <xf numFmtId="49" fontId="36" fillId="13" borderId="22" xfId="0" applyNumberFormat="1" applyFont="1" applyFill="1" applyBorder="1" applyAlignment="1">
      <alignment vertical="center" wrapText="1"/>
    </xf>
    <xf numFmtId="49" fontId="24" fillId="2" borderId="29" xfId="0" applyNumberFormat="1" applyFont="1" applyFill="1" applyBorder="1" applyAlignment="1">
      <alignment horizontal="center" vertical="center" wrapText="1"/>
    </xf>
    <xf numFmtId="49" fontId="24" fillId="2" borderId="11" xfId="0" applyNumberFormat="1" applyFont="1" applyFill="1" applyBorder="1" applyAlignment="1">
      <alignment horizontal="center" vertical="center" wrapText="1"/>
    </xf>
    <xf numFmtId="49" fontId="36" fillId="2" borderId="11" xfId="0" applyNumberFormat="1" applyFont="1" applyFill="1" applyBorder="1" applyAlignment="1">
      <alignment vertical="center" wrapText="1"/>
    </xf>
    <xf numFmtId="49" fontId="35" fillId="13" borderId="22" xfId="0" applyNumberFormat="1" applyFont="1" applyFill="1" applyBorder="1" applyAlignment="1">
      <alignment horizontal="center" vertical="center" wrapText="1"/>
    </xf>
    <xf numFmtId="0" fontId="24" fillId="2" borderId="11" xfId="0" applyFont="1" applyFill="1" applyBorder="1" applyAlignment="1">
      <alignment horizontal="center" vertical="center" wrapText="1"/>
    </xf>
    <xf numFmtId="49" fontId="36" fillId="2" borderId="29" xfId="0" applyNumberFormat="1" applyFont="1" applyFill="1" applyBorder="1" applyAlignment="1">
      <alignment vertical="center" wrapText="1"/>
    </xf>
    <xf numFmtId="0" fontId="24" fillId="10" borderId="60" xfId="0" applyFont="1" applyFill="1" applyBorder="1" applyAlignment="1">
      <alignment vertical="center"/>
    </xf>
    <xf numFmtId="49" fontId="35" fillId="13" borderId="22" xfId="0" applyNumberFormat="1" applyFont="1" applyFill="1" applyBorder="1" applyAlignment="1">
      <alignment vertical="center" wrapText="1"/>
    </xf>
    <xf numFmtId="0" fontId="24" fillId="4" borderId="23" xfId="0" applyFont="1" applyFill="1" applyBorder="1" applyAlignment="1">
      <alignment vertical="center"/>
    </xf>
    <xf numFmtId="0" fontId="24" fillId="2" borderId="23" xfId="0" applyFont="1" applyFill="1" applyBorder="1" applyAlignment="1">
      <alignment vertical="center" wrapText="1"/>
    </xf>
    <xf numFmtId="0" fontId="24" fillId="5" borderId="33" xfId="0" applyFont="1" applyFill="1" applyBorder="1" applyAlignment="1" applyProtection="1">
      <alignment vertical="center" wrapText="1"/>
      <protection locked="0"/>
    </xf>
    <xf numFmtId="0" fontId="33" fillId="11" borderId="60" xfId="0" applyFont="1" applyFill="1" applyBorder="1" applyAlignment="1">
      <alignment vertical="center"/>
    </xf>
    <xf numFmtId="0" fontId="24" fillId="13" borderId="28" xfId="0" applyFont="1" applyFill="1" applyBorder="1"/>
    <xf numFmtId="0" fontId="24" fillId="0" borderId="23" xfId="0" applyFont="1" applyBorder="1" applyAlignment="1">
      <alignment vertical="center" wrapText="1"/>
    </xf>
    <xf numFmtId="0" fontId="24" fillId="5" borderId="23" xfId="0" applyFont="1" applyFill="1" applyBorder="1" applyAlignment="1" applyProtection="1">
      <alignment vertical="center" wrapText="1"/>
      <protection locked="0"/>
    </xf>
    <xf numFmtId="0" fontId="24" fillId="13" borderId="11" xfId="0" applyFont="1" applyFill="1" applyBorder="1" applyAlignment="1">
      <alignment horizontal="center" vertical="center"/>
    </xf>
    <xf numFmtId="0" fontId="24" fillId="5" borderId="28" xfId="0" applyFont="1" applyFill="1" applyBorder="1" applyAlignment="1" applyProtection="1">
      <alignment vertical="center" wrapText="1"/>
      <protection locked="0"/>
    </xf>
    <xf numFmtId="0" fontId="24" fillId="4" borderId="28" xfId="0" applyFont="1" applyFill="1" applyBorder="1" applyAlignment="1">
      <alignment vertical="center"/>
    </xf>
    <xf numFmtId="0" fontId="37" fillId="16" borderId="22" xfId="0" applyFont="1" applyFill="1" applyBorder="1" applyAlignment="1">
      <alignment horizontal="left"/>
    </xf>
    <xf numFmtId="0" fontId="24" fillId="15" borderId="0" xfId="0" applyFont="1" applyFill="1" applyAlignment="1">
      <alignment horizontal="center" vertical="center"/>
    </xf>
    <xf numFmtId="0" fontId="24" fillId="10" borderId="12" xfId="0" applyFont="1" applyFill="1" applyBorder="1" applyAlignment="1">
      <alignment vertical="center"/>
    </xf>
    <xf numFmtId="0" fontId="24" fillId="0" borderId="11" xfId="0" applyFont="1" applyBorder="1" applyAlignment="1">
      <alignment vertical="center"/>
    </xf>
    <xf numFmtId="0" fontId="24" fillId="10" borderId="54" xfId="0" applyFont="1" applyFill="1" applyBorder="1" applyAlignment="1">
      <alignment vertical="center"/>
    </xf>
    <xf numFmtId="0" fontId="24" fillId="0" borderId="23" xfId="0" applyFont="1" applyBorder="1" applyAlignment="1">
      <alignment vertical="center"/>
    </xf>
    <xf numFmtId="0" fontId="24" fillId="2" borderId="46" xfId="0" applyFont="1" applyFill="1" applyBorder="1" applyAlignment="1">
      <alignment vertical="center"/>
    </xf>
    <xf numFmtId="0" fontId="24" fillId="2" borderId="46" xfId="0" applyFont="1" applyFill="1" applyBorder="1" applyAlignment="1">
      <alignment vertical="center" wrapText="1"/>
    </xf>
    <xf numFmtId="0" fontId="24" fillId="2" borderId="46" xfId="0" applyFont="1" applyFill="1" applyBorder="1"/>
    <xf numFmtId="0" fontId="24" fillId="2" borderId="46" xfId="0" applyFont="1" applyFill="1" applyBorder="1" applyAlignment="1">
      <alignment horizontal="center" vertical="center"/>
    </xf>
    <xf numFmtId="0" fontId="30" fillId="3" borderId="0" xfId="0" applyFont="1" applyFill="1" applyAlignment="1">
      <alignment vertical="center"/>
    </xf>
    <xf numFmtId="0" fontId="29" fillId="12" borderId="56" xfId="0" applyFont="1" applyFill="1" applyBorder="1" applyAlignment="1">
      <alignment vertical="center"/>
    </xf>
    <xf numFmtId="49" fontId="5" fillId="13" borderId="34" xfId="0" applyNumberFormat="1" applyFont="1" applyFill="1" applyBorder="1" applyAlignment="1">
      <alignment textRotation="90" wrapText="1"/>
    </xf>
    <xf numFmtId="49" fontId="0" fillId="0" borderId="43" xfId="0" applyNumberFormat="1" applyBorder="1" applyAlignment="1">
      <alignment textRotation="90" wrapText="1"/>
    </xf>
    <xf numFmtId="49" fontId="0" fillId="0" borderId="44" xfId="0" applyNumberFormat="1" applyBorder="1" applyAlignment="1">
      <alignment textRotation="90" wrapText="1"/>
    </xf>
    <xf numFmtId="0" fontId="0" fillId="0" borderId="45" xfId="0" applyBorder="1" applyAlignment="1">
      <alignment textRotation="90" wrapText="1"/>
    </xf>
    <xf numFmtId="0" fontId="5" fillId="13" borderId="47" xfId="0" applyFont="1" applyFill="1" applyBorder="1" applyAlignment="1">
      <alignment textRotation="90" wrapText="1"/>
    </xf>
    <xf numFmtId="49" fontId="0" fillId="2" borderId="47" xfId="0" applyNumberFormat="1" applyFill="1" applyBorder="1" applyAlignment="1">
      <alignment textRotation="90" wrapText="1"/>
    </xf>
    <xf numFmtId="49" fontId="5" fillId="2" borderId="47" xfId="0" applyNumberFormat="1" applyFont="1" applyFill="1" applyBorder="1" applyAlignment="1">
      <alignment textRotation="90" wrapText="1"/>
    </xf>
    <xf numFmtId="49" fontId="5" fillId="13" borderId="47" xfId="0" applyNumberFormat="1" applyFont="1" applyFill="1" applyBorder="1" applyAlignment="1">
      <alignment textRotation="90" wrapText="1"/>
    </xf>
    <xf numFmtId="49" fontId="5" fillId="0" borderId="47" xfId="0" applyNumberFormat="1" applyFont="1" applyBorder="1" applyAlignment="1">
      <alignment textRotation="90" wrapText="1"/>
    </xf>
    <xf numFmtId="0" fontId="0" fillId="2" borderId="47" xfId="0" applyFill="1" applyBorder="1" applyAlignment="1">
      <alignment textRotation="90" wrapText="1"/>
    </xf>
    <xf numFmtId="49" fontId="0" fillId="0" borderId="47" xfId="0" applyNumberFormat="1" applyBorder="1" applyAlignment="1">
      <alignment textRotation="90" wrapText="1"/>
    </xf>
    <xf numFmtId="0" fontId="5" fillId="2" borderId="47" xfId="0" applyFont="1" applyFill="1" applyBorder="1" applyAlignment="1">
      <alignment textRotation="90" wrapText="1"/>
    </xf>
    <xf numFmtId="49" fontId="5" fillId="0" borderId="50" xfId="0" applyNumberFormat="1" applyFont="1" applyBorder="1" applyAlignment="1">
      <alignment textRotation="90" wrapText="1"/>
    </xf>
    <xf numFmtId="0" fontId="23" fillId="13" borderId="28" xfId="0" applyFont="1" applyFill="1" applyBorder="1" applyAlignment="1">
      <alignment horizontal="left" vertical="top" textRotation="90"/>
    </xf>
    <xf numFmtId="49" fontId="20" fillId="2" borderId="11" xfId="0" applyNumberFormat="1" applyFont="1" applyFill="1" applyBorder="1" applyAlignment="1">
      <alignment horizontal="left" vertical="top" textRotation="90"/>
    </xf>
    <xf numFmtId="49" fontId="20" fillId="0" borderId="11" xfId="0" applyNumberFormat="1" applyFont="1" applyBorder="1" applyAlignment="1">
      <alignment horizontal="left" vertical="top" textRotation="90"/>
    </xf>
    <xf numFmtId="49" fontId="20" fillId="2" borderId="41" xfId="0" applyNumberFormat="1" applyFont="1" applyFill="1" applyBorder="1" applyAlignment="1">
      <alignment horizontal="left" vertical="top" textRotation="90"/>
    </xf>
    <xf numFmtId="0" fontId="20" fillId="2" borderId="28" xfId="0" applyFont="1" applyFill="1" applyBorder="1" applyAlignment="1">
      <alignment horizontal="left" vertical="top" textRotation="90" wrapText="1"/>
    </xf>
    <xf numFmtId="49" fontId="20" fillId="0" borderId="41" xfId="0" applyNumberFormat="1" applyFont="1" applyBorder="1" applyAlignment="1">
      <alignment horizontal="left" vertical="top" textRotation="90"/>
    </xf>
    <xf numFmtId="0" fontId="20" fillId="2" borderId="28" xfId="0" applyFont="1" applyFill="1" applyBorder="1" applyAlignment="1">
      <alignment horizontal="left" vertical="top" textRotation="90"/>
    </xf>
    <xf numFmtId="49" fontId="20" fillId="2" borderId="28" xfId="0" applyNumberFormat="1" applyFont="1" applyFill="1" applyBorder="1" applyAlignment="1">
      <alignment horizontal="left" vertical="top" textRotation="90"/>
    </xf>
    <xf numFmtId="49" fontId="23" fillId="2" borderId="28" xfId="0" applyNumberFormat="1" applyFont="1" applyFill="1" applyBorder="1" applyAlignment="1">
      <alignment horizontal="left" vertical="top" textRotation="90"/>
    </xf>
    <xf numFmtId="49" fontId="23" fillId="13" borderId="28" xfId="0" applyNumberFormat="1" applyFont="1" applyFill="1" applyBorder="1" applyAlignment="1">
      <alignment horizontal="left" vertical="top" textRotation="90"/>
    </xf>
    <xf numFmtId="49" fontId="23" fillId="0" borderId="28" xfId="0" applyNumberFormat="1" applyFont="1" applyBorder="1" applyAlignment="1">
      <alignment horizontal="left" vertical="top" textRotation="90"/>
    </xf>
    <xf numFmtId="49" fontId="20" fillId="0" borderId="28" xfId="0" applyNumberFormat="1" applyFont="1" applyBorder="1" applyAlignment="1">
      <alignment horizontal="left" vertical="top" textRotation="90"/>
    </xf>
    <xf numFmtId="0" fontId="23" fillId="2" borderId="28" xfId="0" applyFont="1" applyFill="1" applyBorder="1" applyAlignment="1">
      <alignment horizontal="left" vertical="top" textRotation="90"/>
    </xf>
    <xf numFmtId="0" fontId="20" fillId="2" borderId="22" xfId="0" applyFont="1" applyFill="1" applyBorder="1" applyAlignment="1">
      <alignment horizontal="left" vertical="top" textRotation="90"/>
    </xf>
    <xf numFmtId="0" fontId="20" fillId="2" borderId="22" xfId="0" applyFont="1" applyFill="1" applyBorder="1" applyAlignment="1">
      <alignment horizontal="left" vertical="top" textRotation="90" wrapText="1"/>
    </xf>
    <xf numFmtId="0" fontId="23" fillId="13" borderId="22" xfId="0" applyFont="1" applyFill="1" applyBorder="1" applyAlignment="1">
      <alignment horizontal="left" vertical="top" textRotation="90" wrapText="1"/>
    </xf>
    <xf numFmtId="49" fontId="20" fillId="0" borderId="22" xfId="0" applyNumberFormat="1" applyFont="1" applyBorder="1" applyAlignment="1">
      <alignment horizontal="left" vertical="top" textRotation="90"/>
    </xf>
    <xf numFmtId="0" fontId="23" fillId="13" borderId="22" xfId="0" applyFont="1" applyFill="1" applyBorder="1" applyAlignment="1">
      <alignment horizontal="left" vertical="top" textRotation="90"/>
    </xf>
    <xf numFmtId="0" fontId="23" fillId="2" borderId="22" xfId="0" applyFont="1" applyFill="1" applyBorder="1" applyAlignment="1">
      <alignment horizontal="left" vertical="top" textRotation="90" wrapText="1"/>
    </xf>
    <xf numFmtId="0" fontId="20" fillId="2" borderId="0" xfId="0" applyFont="1" applyFill="1" applyAlignment="1">
      <alignment horizontal="left" vertical="top" textRotation="90" wrapText="1"/>
    </xf>
    <xf numFmtId="0" fontId="23" fillId="13" borderId="0" xfId="0" applyFont="1" applyFill="1" applyAlignment="1">
      <alignment horizontal="left" vertical="top" textRotation="90" wrapText="1"/>
    </xf>
    <xf numFmtId="49" fontId="23" fillId="0" borderId="51" xfId="0" applyNumberFormat="1" applyFont="1" applyBorder="1" applyAlignment="1">
      <alignment horizontal="left" vertical="top" textRotation="90"/>
    </xf>
    <xf numFmtId="0" fontId="25" fillId="21" borderId="18" xfId="0" applyFont="1" applyFill="1" applyBorder="1" applyAlignment="1">
      <alignment vertical="center"/>
    </xf>
    <xf numFmtId="0" fontId="24" fillId="21" borderId="19" xfId="0" applyFont="1" applyFill="1" applyBorder="1"/>
    <xf numFmtId="0" fontId="24" fillId="21" borderId="20" xfId="0" applyFont="1" applyFill="1" applyBorder="1" applyAlignment="1">
      <alignment vertical="top" wrapText="1"/>
    </xf>
    <xf numFmtId="0" fontId="24" fillId="20" borderId="6" xfId="0" applyFont="1" applyFill="1" applyBorder="1" applyAlignment="1">
      <alignment horizontal="left" vertical="center"/>
    </xf>
    <xf numFmtId="0" fontId="24" fillId="20" borderId="0" xfId="0" applyFont="1" applyFill="1"/>
    <xf numFmtId="0" fontId="24" fillId="20" borderId="7" xfId="0" applyFont="1" applyFill="1" applyBorder="1" applyAlignment="1">
      <alignment vertical="top" wrapText="1"/>
    </xf>
    <xf numFmtId="0" fontId="24" fillId="20" borderId="6" xfId="0" applyFont="1" applyFill="1" applyBorder="1" applyAlignment="1">
      <alignment horizontal="left" vertical="center" indent="2"/>
    </xf>
    <xf numFmtId="0" fontId="24" fillId="20" borderId="6" xfId="0" quotePrefix="1" applyFont="1" applyFill="1" applyBorder="1" applyAlignment="1">
      <alignment horizontal="left" vertical="center" indent="2"/>
    </xf>
    <xf numFmtId="0" fontId="24" fillId="20" borderId="8" xfId="0" applyFont="1" applyFill="1" applyBorder="1" applyAlignment="1">
      <alignment horizontal="left" vertical="center" indent="2"/>
    </xf>
    <xf numFmtId="0" fontId="24" fillId="20" borderId="14" xfId="0" applyFont="1" applyFill="1" applyBorder="1"/>
    <xf numFmtId="0" fontId="24" fillId="20" borderId="9" xfId="0" applyFont="1" applyFill="1" applyBorder="1" applyAlignment="1">
      <alignment vertical="top" wrapText="1"/>
    </xf>
    <xf numFmtId="0" fontId="29" fillId="12" borderId="64" xfId="0" applyFont="1" applyFill="1" applyBorder="1"/>
    <xf numFmtId="0" fontId="24" fillId="2" borderId="0" xfId="0" applyFont="1" applyFill="1" applyAlignment="1">
      <alignment wrapText="1"/>
    </xf>
    <xf numFmtId="0" fontId="15" fillId="3" borderId="0" xfId="0" applyFont="1" applyFill="1" applyAlignment="1">
      <alignment wrapText="1"/>
    </xf>
    <xf numFmtId="0" fontId="25" fillId="15" borderId="15" xfId="0" applyFont="1" applyFill="1" applyBorder="1" applyAlignment="1">
      <alignment vertical="center"/>
    </xf>
    <xf numFmtId="0" fontId="24" fillId="15" borderId="17" xfId="0" applyFont="1" applyFill="1" applyBorder="1" applyAlignment="1">
      <alignment vertical="center" wrapText="1"/>
    </xf>
    <xf numFmtId="0" fontId="24" fillId="2" borderId="14" xfId="0" applyFont="1" applyFill="1" applyBorder="1"/>
    <xf numFmtId="0" fontId="24" fillId="12" borderId="17" xfId="0" applyFont="1" applyFill="1" applyBorder="1" applyAlignment="1">
      <alignment wrapText="1"/>
    </xf>
    <xf numFmtId="0" fontId="24" fillId="2" borderId="22" xfId="0" applyFont="1" applyFill="1" applyBorder="1" applyAlignment="1">
      <alignment horizontal="left" vertical="center" wrapText="1"/>
    </xf>
    <xf numFmtId="0" fontId="25" fillId="2" borderId="22" xfId="0" applyFont="1" applyFill="1" applyBorder="1" applyAlignment="1">
      <alignment vertical="center" wrapText="1"/>
    </xf>
    <xf numFmtId="0" fontId="24" fillId="2" borderId="22" xfId="0" applyFont="1" applyFill="1" applyBorder="1" applyAlignment="1">
      <alignment vertical="center" wrapText="1"/>
    </xf>
    <xf numFmtId="0" fontId="24" fillId="2" borderId="28" xfId="0" applyFont="1" applyFill="1" applyBorder="1" applyAlignment="1">
      <alignment vertical="center" wrapText="1"/>
    </xf>
    <xf numFmtId="0" fontId="24" fillId="2" borderId="28" xfId="0" applyFont="1" applyFill="1" applyBorder="1" applyAlignment="1">
      <alignment horizontal="left" vertical="center" wrapText="1"/>
    </xf>
    <xf numFmtId="0" fontId="24" fillId="2" borderId="23" xfId="0" applyFont="1" applyFill="1" applyBorder="1" applyAlignment="1">
      <alignment horizontal="left" vertical="center" wrapText="1"/>
    </xf>
    <xf numFmtId="0" fontId="24" fillId="2" borderId="29" xfId="0" quotePrefix="1" applyFont="1" applyFill="1" applyBorder="1" applyAlignment="1">
      <alignment vertical="center" wrapText="1"/>
    </xf>
    <xf numFmtId="0" fontId="24" fillId="2" borderId="29" xfId="0" applyFont="1" applyFill="1" applyBorder="1" applyAlignment="1">
      <alignment wrapText="1"/>
    </xf>
    <xf numFmtId="0" fontId="24" fillId="2" borderId="2" xfId="0" applyFont="1" applyFill="1" applyBorder="1"/>
    <xf numFmtId="0" fontId="24" fillId="2" borderId="22" xfId="0" applyFont="1" applyFill="1" applyBorder="1"/>
    <xf numFmtId="0" fontId="24" fillId="2" borderId="11" xfId="0" applyFont="1" applyFill="1" applyBorder="1" applyAlignment="1">
      <alignment wrapText="1"/>
    </xf>
    <xf numFmtId="0" fontId="24" fillId="2" borderId="35" xfId="0" applyFont="1" applyFill="1" applyBorder="1" applyAlignment="1">
      <alignment vertical="center" wrapText="1"/>
    </xf>
    <xf numFmtId="0" fontId="24" fillId="2" borderId="35" xfId="0" applyFont="1" applyFill="1" applyBorder="1" applyAlignment="1">
      <alignment wrapText="1"/>
    </xf>
    <xf numFmtId="0" fontId="24" fillId="0" borderId="36" xfId="0" applyFont="1" applyBorder="1" applyAlignment="1">
      <alignment vertical="center" wrapText="1"/>
    </xf>
    <xf numFmtId="0" fontId="24" fillId="2" borderId="37" xfId="0" applyFont="1" applyFill="1" applyBorder="1"/>
    <xf numFmtId="0" fontId="24" fillId="2" borderId="23" xfId="0" applyFont="1" applyFill="1" applyBorder="1" applyAlignment="1">
      <alignment wrapText="1"/>
    </xf>
    <xf numFmtId="0" fontId="24" fillId="2" borderId="28" xfId="0" applyFont="1" applyFill="1" applyBorder="1"/>
    <xf numFmtId="0" fontId="25" fillId="2" borderId="23" xfId="0" applyFont="1" applyFill="1" applyBorder="1" applyAlignment="1">
      <alignment vertical="center" wrapText="1"/>
    </xf>
    <xf numFmtId="0" fontId="29" fillId="12" borderId="15" xfId="0" applyFont="1" applyFill="1" applyBorder="1"/>
    <xf numFmtId="49" fontId="24" fillId="0" borderId="28" xfId="0" applyNumberFormat="1" applyFont="1" applyBorder="1"/>
    <xf numFmtId="0" fontId="24" fillId="0" borderId="28" xfId="0" applyFont="1" applyBorder="1"/>
    <xf numFmtId="0" fontId="24" fillId="0" borderId="11" xfId="0" applyFont="1" applyBorder="1"/>
    <xf numFmtId="0" fontId="29" fillId="12" borderId="16" xfId="0" applyFont="1" applyFill="1" applyBorder="1"/>
    <xf numFmtId="0" fontId="29" fillId="12" borderId="17" xfId="0" applyFont="1" applyFill="1" applyBorder="1"/>
    <xf numFmtId="0" fontId="29" fillId="12" borderId="55" xfId="0" applyFont="1" applyFill="1" applyBorder="1"/>
    <xf numFmtId="0" fontId="25" fillId="21" borderId="6" xfId="0" applyFont="1" applyFill="1" applyBorder="1" applyAlignment="1">
      <alignment horizontal="center" vertical="center"/>
    </xf>
    <xf numFmtId="0" fontId="24" fillId="21" borderId="0" xfId="0" applyFont="1" applyFill="1" applyAlignment="1">
      <alignment vertical="center" wrapText="1"/>
    </xf>
    <xf numFmtId="0" fontId="24" fillId="21" borderId="46" xfId="0" applyFont="1" applyFill="1" applyBorder="1" applyAlignment="1">
      <alignment vertical="center"/>
    </xf>
    <xf numFmtId="0" fontId="24" fillId="21" borderId="0" xfId="0" applyFont="1" applyFill="1" applyAlignment="1">
      <alignment vertical="center"/>
    </xf>
    <xf numFmtId="0" fontId="24" fillId="21" borderId="1" xfId="0" applyFont="1" applyFill="1" applyBorder="1" applyAlignment="1">
      <alignment vertical="center"/>
    </xf>
    <xf numFmtId="0" fontId="25" fillId="21" borderId="48" xfId="0" applyFont="1" applyFill="1" applyBorder="1" applyAlignment="1">
      <alignment horizontal="center" vertical="center"/>
    </xf>
    <xf numFmtId="0" fontId="25" fillId="21" borderId="30" xfId="0" applyFont="1" applyFill="1" applyBorder="1" applyAlignment="1">
      <alignment horizontal="center" vertical="center"/>
    </xf>
    <xf numFmtId="0" fontId="24" fillId="22" borderId="52" xfId="0" applyFont="1" applyFill="1" applyBorder="1" applyAlignment="1">
      <alignment vertical="center" wrapText="1"/>
    </xf>
    <xf numFmtId="0" fontId="24" fillId="22" borderId="10" xfId="0" applyFont="1" applyFill="1" applyBorder="1" applyAlignment="1">
      <alignment vertical="center" wrapText="1"/>
    </xf>
    <xf numFmtId="0" fontId="24" fillId="22" borderId="53" xfId="0" applyFont="1" applyFill="1" applyBorder="1" applyAlignment="1">
      <alignment vertical="center" wrapText="1"/>
    </xf>
    <xf numFmtId="0" fontId="27" fillId="25" borderId="52" xfId="2" applyFont="1" applyFill="1" applyBorder="1" applyAlignment="1">
      <alignment vertical="center"/>
    </xf>
    <xf numFmtId="0" fontId="27" fillId="25" borderId="10" xfId="2" applyFont="1" applyFill="1" applyBorder="1" applyAlignment="1">
      <alignment vertical="center"/>
    </xf>
    <xf numFmtId="0" fontId="27" fillId="25" borderId="53" xfId="2" applyFont="1" applyFill="1" applyBorder="1" applyAlignment="1">
      <alignment vertical="center"/>
    </xf>
    <xf numFmtId="0" fontId="24" fillId="20" borderId="15" xfId="0" applyFont="1" applyFill="1" applyBorder="1" applyAlignment="1">
      <alignment vertical="center" wrapText="1"/>
    </xf>
    <xf numFmtId="0" fontId="24" fillId="20" borderId="16" xfId="0" applyFont="1" applyFill="1" applyBorder="1" applyAlignment="1">
      <alignment vertical="center"/>
    </xf>
    <xf numFmtId="0" fontId="24" fillId="20" borderId="17" xfId="0" applyFont="1" applyFill="1" applyBorder="1" applyAlignment="1">
      <alignment vertical="center"/>
    </xf>
  </cellXfs>
  <cellStyles count="3">
    <cellStyle name="Hyperlink" xfId="2" builtinId="8"/>
    <cellStyle name="Normal" xfId="0" builtinId="0"/>
    <cellStyle name="Normal 2" xfId="1" xr:uid="{00000000-0005-0000-0000-000001000000}"/>
  </cellStyles>
  <dxfs count="83">
    <dxf>
      <fill>
        <patternFill>
          <bgColor rgb="FFF1D1FF"/>
        </patternFill>
      </fill>
    </dxf>
    <dxf>
      <fill>
        <patternFill>
          <bgColor theme="2" tint="0.79998168889431442"/>
        </patternFill>
      </fill>
    </dxf>
    <dxf>
      <fill>
        <patternFill>
          <bgColor theme="5" tint="0.79998168889431442"/>
        </patternFill>
      </fill>
    </dxf>
    <dxf>
      <fill>
        <patternFill>
          <bgColor rgb="FFF1D1FF"/>
        </patternFill>
      </fill>
    </dxf>
    <dxf>
      <fill>
        <patternFill>
          <bgColor theme="2" tint="0.79998168889431442"/>
        </patternFill>
      </fill>
    </dxf>
    <dxf>
      <fill>
        <patternFill>
          <bgColor theme="5" tint="0.79998168889431442"/>
        </patternFill>
      </fill>
    </dxf>
    <dxf>
      <fill>
        <patternFill>
          <bgColor theme="0" tint="-0.24994659260841701"/>
        </patternFill>
      </fill>
    </dxf>
    <dxf>
      <fill>
        <patternFill>
          <bgColor theme="2" tint="0.39994506668294322"/>
        </patternFill>
      </fill>
    </dxf>
    <dxf>
      <fill>
        <patternFill>
          <bgColor theme="3" tint="0.79998168889431442"/>
        </patternFill>
      </fill>
    </dxf>
    <dxf>
      <font>
        <color auto="1"/>
      </font>
      <fill>
        <patternFill>
          <bgColor theme="6" tint="0.79998168889431442"/>
        </patternFill>
      </fill>
    </dxf>
    <dxf>
      <fill>
        <patternFill>
          <bgColor theme="3" tint="0.79998168889431442"/>
        </patternFill>
      </fill>
    </dxf>
    <dxf>
      <font>
        <color auto="1"/>
      </font>
      <fill>
        <patternFill>
          <bgColor theme="6" tint="0.79998168889431442"/>
        </patternFill>
      </fill>
    </dxf>
    <dxf>
      <fill>
        <patternFill>
          <bgColor theme="3" tint="0.79998168889431442"/>
        </patternFill>
      </fill>
    </dxf>
    <dxf>
      <font>
        <color auto="1"/>
      </font>
      <fill>
        <patternFill>
          <bgColor theme="6" tint="0.79998168889431442"/>
        </patternFill>
      </fill>
    </dxf>
    <dxf>
      <fill>
        <patternFill>
          <bgColor theme="3" tint="0.79998168889431442"/>
        </patternFill>
      </fill>
    </dxf>
    <dxf>
      <font>
        <color auto="1"/>
      </font>
      <fill>
        <patternFill>
          <bgColor theme="6" tint="0.79998168889431442"/>
        </patternFill>
      </fill>
    </dxf>
    <dxf>
      <fill>
        <patternFill>
          <bgColor theme="3" tint="0.79998168889431442"/>
        </patternFill>
      </fill>
    </dxf>
    <dxf>
      <font>
        <color auto="1"/>
      </font>
      <fill>
        <patternFill>
          <bgColor theme="6" tint="0.79998168889431442"/>
        </patternFill>
      </fill>
    </dxf>
    <dxf>
      <font>
        <color auto="1"/>
      </font>
      <fill>
        <patternFill>
          <bgColor theme="6" tint="0.79998168889431442"/>
        </patternFill>
      </fill>
    </dxf>
    <dxf>
      <fill>
        <patternFill>
          <bgColor theme="3" tint="0.79998168889431442"/>
        </patternFill>
      </fill>
    </dxf>
    <dxf>
      <font>
        <color auto="1"/>
      </font>
      <fill>
        <patternFill>
          <bgColor theme="6" tint="0.79998168889431442"/>
        </patternFill>
      </fill>
    </dxf>
    <dxf>
      <fill>
        <patternFill>
          <bgColor theme="3" tint="0.79998168889431442"/>
        </patternFill>
      </fill>
    </dxf>
    <dxf>
      <fill>
        <patternFill>
          <bgColor theme="3" tint="0.79998168889431442"/>
        </patternFill>
      </fill>
    </dxf>
    <dxf>
      <font>
        <color auto="1"/>
      </font>
      <fill>
        <patternFill>
          <bgColor theme="6" tint="0.79998168889431442"/>
        </patternFill>
      </fill>
    </dxf>
    <dxf>
      <font>
        <color auto="1"/>
      </font>
      <fill>
        <patternFill>
          <bgColor theme="6" tint="0.79998168889431442"/>
        </patternFill>
      </fill>
    </dxf>
    <dxf>
      <fill>
        <patternFill>
          <bgColor theme="3" tint="0.79998168889431442"/>
        </patternFill>
      </fill>
    </dxf>
    <dxf>
      <fill>
        <patternFill>
          <bgColor theme="3" tint="0.79998168889431442"/>
        </patternFill>
      </fill>
    </dxf>
    <dxf>
      <font>
        <color auto="1"/>
      </font>
      <fill>
        <patternFill>
          <bgColor theme="6" tint="0.79998168889431442"/>
        </patternFill>
      </fill>
    </dxf>
    <dxf>
      <font>
        <color auto="1"/>
      </font>
      <fill>
        <patternFill>
          <bgColor theme="6" tint="0.79998168889431442"/>
        </patternFill>
      </fill>
    </dxf>
    <dxf>
      <fill>
        <patternFill>
          <bgColor theme="3" tint="0.79998168889431442"/>
        </patternFill>
      </fill>
    </dxf>
    <dxf>
      <fill>
        <patternFill>
          <bgColor theme="3" tint="0.79998168889431442"/>
        </patternFill>
      </fill>
    </dxf>
    <dxf>
      <font>
        <color auto="1"/>
      </font>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ill>
        <patternFill>
          <bgColor theme="3" tint="0.79998168889431442"/>
        </patternFill>
      </fill>
    </dxf>
    <dxf>
      <font>
        <color auto="1"/>
      </font>
      <fill>
        <patternFill>
          <bgColor theme="6"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ont>
        <color auto="1"/>
      </font>
      <fill>
        <patternFill>
          <bgColor theme="6" tint="0.79998168889431442"/>
        </patternFill>
      </fill>
    </dxf>
    <dxf>
      <font>
        <color auto="1"/>
      </font>
      <fill>
        <patternFill>
          <bgColor theme="6" tint="0.79998168889431442"/>
        </patternFill>
      </fill>
    </dxf>
    <dxf>
      <fill>
        <patternFill>
          <bgColor theme="0"/>
        </patternFill>
      </fill>
    </dxf>
    <dxf>
      <font>
        <color auto="1"/>
      </font>
      <fill>
        <patternFill>
          <bgColor theme="6" tint="0.79998168889431442"/>
        </patternFill>
      </fill>
    </dxf>
    <dxf>
      <fill>
        <patternFill>
          <bgColor theme="3" tint="0.79998168889431442"/>
        </patternFill>
      </fill>
    </dxf>
    <dxf>
      <fill>
        <patternFill>
          <bgColor theme="3" tint="0.79998168889431442"/>
        </patternFill>
      </fill>
    </dxf>
    <dxf>
      <font>
        <color auto="1"/>
      </font>
      <fill>
        <patternFill>
          <bgColor theme="6" tint="0.79998168889431442"/>
        </patternFill>
      </fill>
    </dxf>
    <dxf>
      <fill>
        <patternFill>
          <bgColor theme="0"/>
        </patternFill>
      </fill>
    </dxf>
    <dxf>
      <font>
        <color auto="1"/>
      </font>
      <fill>
        <patternFill>
          <bgColor theme="6" tint="0.79998168889431442"/>
        </patternFill>
      </fill>
    </dxf>
    <dxf>
      <fill>
        <patternFill>
          <bgColor theme="3" tint="0.79998168889431442"/>
        </patternFill>
      </fill>
    </dxf>
    <dxf>
      <fill>
        <patternFill>
          <bgColor theme="0"/>
        </patternFill>
      </fill>
    </dxf>
    <dxf>
      <fill>
        <patternFill>
          <bgColor theme="0"/>
        </patternFill>
      </fill>
    </dxf>
    <dxf>
      <fill>
        <patternFill>
          <bgColor theme="0"/>
        </patternFill>
      </fill>
    </dxf>
    <dxf>
      <fill>
        <patternFill>
          <bgColor theme="3" tint="0.79998168889431442"/>
        </patternFill>
      </fill>
    </dxf>
    <dxf>
      <fill>
        <patternFill>
          <bgColor theme="0"/>
        </patternFill>
      </fill>
    </dxf>
    <dxf>
      <font>
        <color auto="1"/>
      </font>
      <fill>
        <patternFill>
          <bgColor theme="6" tint="0.79998168889431442"/>
        </patternFill>
      </fill>
    </dxf>
    <dxf>
      <fill>
        <patternFill>
          <bgColor theme="3" tint="0.79998168889431442"/>
        </patternFill>
      </fill>
    </dxf>
    <dxf>
      <fill>
        <patternFill>
          <bgColor theme="0"/>
        </patternFill>
      </fill>
    </dxf>
    <dxf>
      <fill>
        <patternFill>
          <bgColor theme="0"/>
        </patternFill>
      </fill>
    </dxf>
    <dxf>
      <fill>
        <patternFill>
          <bgColor theme="0"/>
        </patternFill>
      </fill>
    </dxf>
    <dxf>
      <fill>
        <patternFill>
          <bgColor rgb="FFFFDDB5"/>
        </patternFill>
      </fill>
    </dxf>
    <dxf>
      <font>
        <color auto="1"/>
      </font>
      <fill>
        <patternFill>
          <bgColor theme="6" tint="0.79998168889431442"/>
        </patternFill>
      </fill>
    </dxf>
    <dxf>
      <fill>
        <patternFill>
          <bgColor theme="3" tint="0.79998168889431442"/>
        </patternFill>
      </fill>
    </dxf>
    <dxf>
      <fill>
        <patternFill>
          <bgColor theme="0"/>
        </patternFill>
      </fill>
    </dxf>
    <dxf>
      <fill>
        <patternFill>
          <bgColor theme="0"/>
        </patternFill>
      </fill>
    </dxf>
    <dxf>
      <fill>
        <patternFill>
          <bgColor theme="0"/>
        </patternFill>
      </fill>
    </dxf>
    <dxf>
      <fill>
        <patternFill>
          <bgColor rgb="FFFFDDB5"/>
        </patternFill>
      </fill>
    </dxf>
    <dxf>
      <fill>
        <patternFill>
          <bgColor rgb="FFD3F5D3"/>
        </patternFill>
      </fill>
    </dxf>
    <dxf>
      <fill>
        <patternFill>
          <bgColor theme="0"/>
        </patternFill>
      </fill>
    </dxf>
    <dxf>
      <font>
        <color auto="1"/>
      </font>
      <fill>
        <patternFill>
          <bgColor theme="6" tint="0.79998168889431442"/>
        </patternFill>
      </fill>
    </dxf>
    <dxf>
      <fill>
        <patternFill>
          <bgColor theme="3" tint="0.79998168889431442"/>
        </patternFill>
      </fill>
    </dxf>
    <dxf>
      <fill>
        <patternFill>
          <bgColor theme="0"/>
        </patternFill>
      </fill>
    </dxf>
    <dxf>
      <fill>
        <patternFill>
          <bgColor theme="0"/>
        </patternFill>
      </fill>
    </dxf>
    <dxf>
      <font>
        <color auto="1"/>
      </font>
      <fill>
        <patternFill>
          <bgColor theme="6" tint="0.79998168889431442"/>
        </patternFill>
      </fill>
    </dxf>
    <dxf>
      <fill>
        <patternFill>
          <bgColor theme="3" tint="0.79998168889431442"/>
        </patternFill>
      </fill>
    </dxf>
    <dxf>
      <fill>
        <patternFill>
          <bgColor theme="0"/>
        </patternFill>
      </fill>
    </dxf>
    <dxf>
      <fill>
        <patternFill>
          <bgColor theme="0"/>
        </patternFill>
      </fill>
    </dxf>
    <dxf>
      <fill>
        <patternFill>
          <bgColor theme="0"/>
        </patternFill>
      </fill>
    </dxf>
    <dxf>
      <fill>
        <patternFill>
          <bgColor theme="3" tint="0.79998168889431442"/>
        </patternFill>
      </fill>
    </dxf>
    <dxf>
      <fill>
        <patternFill patternType="solid">
          <fgColor theme="1"/>
          <bgColor theme="5" tint="0.79998168889431442"/>
        </patternFill>
      </fill>
    </dxf>
    <dxf>
      <fill>
        <patternFill>
          <bgColor theme="2" tint="0.79998168889431442"/>
        </patternFill>
      </fill>
    </dxf>
    <dxf>
      <fill>
        <patternFill>
          <bgColor theme="2" tint="0.79998168889431442"/>
        </patternFill>
      </fill>
    </dxf>
    <dxf>
      <fill>
        <patternFill>
          <bgColor theme="2" tint="0.39994506668294322"/>
        </patternFill>
      </fill>
    </dxf>
    <dxf>
      <fill>
        <patternFill>
          <bgColor theme="0" tint="-0.24994659260841701"/>
        </patternFill>
      </fill>
    </dxf>
  </dxfs>
  <tableStyles count="0" defaultTableStyle="TableStyleMedium9" defaultPivotStyle="PivotStyleLight16"/>
  <colors>
    <mruColors>
      <color rgb="FFF0FEFB"/>
      <color rgb="FFDAD3C6"/>
      <color rgb="FFF0EEE3"/>
      <color rgb="FFF1D1FF"/>
      <color rgb="FFD1AD7F"/>
      <color rgb="FFEFB670"/>
      <color rgb="FFD3F5D3"/>
      <color rgb="FFE1F5E1"/>
      <color rgb="FFEEFFFC"/>
      <color rgb="FFD8F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10584</xdr:rowOff>
    </xdr:from>
    <xdr:to>
      <xdr:col>4</xdr:col>
      <xdr:colOff>6931313</xdr:colOff>
      <xdr:row>0</xdr:row>
      <xdr:rowOff>1358900</xdr:rowOff>
    </xdr:to>
    <xdr:pic>
      <xdr:nvPicPr>
        <xdr:cNvPr id="3" name="Picture 2">
          <a:extLst>
            <a:ext uri="{FF2B5EF4-FFF2-40B4-BE49-F238E27FC236}">
              <a16:creationId xmlns:a16="http://schemas.microsoft.com/office/drawing/2014/main" id="{31CABB3B-9AE2-4189-896B-6F181F966AF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37"/>
        <a:stretch>
          <a:fillRect/>
        </a:stretch>
      </xdr:blipFill>
      <xdr:spPr bwMode="auto">
        <a:xfrm>
          <a:off x="225425" y="10584"/>
          <a:ext cx="9131588" cy="1348316"/>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7C5AABD1-9A34-49FA-8C79-1B1F85C6D405}">
    <nsvFilter filterId="{A288FF47-38CB-6940-AC4D-C7D8FC7D4AF9}" ref="B10:HM301" tableId="0">
      <columnFilter colId="97">
        <filter colId="97">
          <x:customFilters>
            <x:customFilter operator="notEqual" val=" "/>
          </x:customFilters>
        </filter>
      </columnFilter>
    </nsvFilter>
  </namedSheetView>
</namedSheetViews>
</file>

<file path=xl/theme/theme1.xml><?xml version="1.0" encoding="utf-8"?>
<a:theme xmlns:a="http://schemas.openxmlformats.org/drawingml/2006/main" name="Office Theme 2007 - 2010">
  <a:themeElements>
    <a:clrScheme name="Enterprise 2026">
      <a:dk1>
        <a:srgbClr val="000000"/>
      </a:dk1>
      <a:lt1>
        <a:srgbClr val="FFFFFF"/>
      </a:lt1>
      <a:dk2>
        <a:srgbClr val="9D3F28"/>
      </a:dk2>
      <a:lt2>
        <a:srgbClr val="59A3E8"/>
      </a:lt2>
      <a:accent1>
        <a:srgbClr val="052656"/>
      </a:accent1>
      <a:accent2>
        <a:srgbClr val="7D3A76"/>
      </a:accent2>
      <a:accent3>
        <a:srgbClr val="054D40"/>
      </a:accent3>
      <a:accent4>
        <a:srgbClr val="245599"/>
      </a:accent4>
      <a:accent5>
        <a:srgbClr val="CD5B37"/>
      </a:accent5>
      <a:accent6>
        <a:srgbClr val="C98A3C"/>
      </a:accent6>
      <a:hlink>
        <a:srgbClr val="467886"/>
      </a:hlink>
      <a:folHlink>
        <a:srgbClr val="96607D"/>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reencommunitiesonline.org/webinars-and-trainings" TargetMode="External"/></Relationships>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50957-2DF3-054A-9B33-483499D97F18}">
  <sheetPr>
    <tabColor theme="4" tint="0.79998168889431442"/>
    <pageSetUpPr autoPageBreaks="0"/>
  </sheetPr>
  <dimension ref="B1:J33"/>
  <sheetViews>
    <sheetView tabSelected="1" zoomScaleNormal="100" zoomScaleSheetLayoutView="40" workbookViewId="0">
      <pane ySplit="3" topLeftCell="A4" activePane="bottomLeft" state="frozen"/>
      <selection pane="bottomLeft" activeCell="A4" sqref="A4"/>
    </sheetView>
  </sheetViews>
  <sheetFormatPr defaultColWidth="10.85546875" defaultRowHeight="15"/>
  <cols>
    <col min="1" max="1" width="2.85546875" style="11" customWidth="1"/>
    <col min="2" max="2" width="4.85546875" style="11" customWidth="1"/>
    <col min="3" max="3" width="20.7109375" style="11" customWidth="1"/>
    <col min="4" max="4" width="3.42578125" style="11" customWidth="1"/>
    <col min="5" max="5" width="92.42578125" style="11" customWidth="1"/>
    <col min="6" max="6" width="3.42578125" style="11" customWidth="1"/>
    <col min="7" max="7" width="45" style="11" customWidth="1"/>
    <col min="8" max="16384" width="10.85546875" style="11"/>
  </cols>
  <sheetData>
    <row r="1" spans="2:10" ht="108" customHeight="1">
      <c r="G1" s="149"/>
    </row>
    <row r="2" spans="2:10" ht="6.75" customHeight="1"/>
    <row r="3" spans="2:10" s="31" customFormat="1" ht="27" customHeight="1">
      <c r="B3" s="186" t="s">
        <v>532</v>
      </c>
    </row>
    <row r="4" spans="2:10" ht="9" customHeight="1"/>
    <row r="5" spans="2:10" ht="119.1" customHeight="1">
      <c r="B5" s="412" t="s">
        <v>3120</v>
      </c>
      <c r="C5" s="413"/>
      <c r="D5" s="413"/>
      <c r="E5" s="414"/>
      <c r="G5" s="14"/>
    </row>
    <row r="6" spans="2:10" ht="21.95" customHeight="1">
      <c r="B6" s="415" t="s">
        <v>3121</v>
      </c>
      <c r="C6" s="416"/>
      <c r="D6" s="416"/>
      <c r="E6" s="417"/>
      <c r="G6" s="14"/>
    </row>
    <row r="7" spans="2:10" ht="9" customHeight="1">
      <c r="B7" s="155"/>
      <c r="C7" s="155"/>
      <c r="D7" s="155"/>
      <c r="E7" s="155"/>
      <c r="H7" s="18"/>
      <c r="I7" s="18"/>
      <c r="J7" s="18"/>
    </row>
    <row r="8" spans="2:10" ht="24" customHeight="1">
      <c r="B8" s="189" t="s">
        <v>534</v>
      </c>
      <c r="C8" s="190"/>
      <c r="D8" s="190" t="s">
        <v>533</v>
      </c>
      <c r="E8" s="191"/>
      <c r="H8" s="18"/>
      <c r="I8" s="18"/>
      <c r="J8" s="18"/>
    </row>
    <row r="9" spans="2:10" ht="21" customHeight="1">
      <c r="B9" s="405">
        <v>1</v>
      </c>
      <c r="C9" s="406" t="s">
        <v>3107</v>
      </c>
      <c r="D9" s="156" t="s">
        <v>2969</v>
      </c>
      <c r="E9" s="157"/>
      <c r="G9" s="21"/>
      <c r="H9" s="19"/>
      <c r="I9" s="18"/>
    </row>
    <row r="10" spans="2:10" ht="26.1" customHeight="1">
      <c r="B10" s="405"/>
      <c r="C10" s="406"/>
      <c r="D10" s="158" t="s">
        <v>121</v>
      </c>
      <c r="E10" s="159" t="s">
        <v>2963</v>
      </c>
      <c r="G10" s="21"/>
      <c r="H10" s="19"/>
      <c r="I10" s="18"/>
    </row>
    <row r="11" spans="2:10" ht="57.95" customHeight="1">
      <c r="B11" s="405"/>
      <c r="C11" s="406"/>
      <c r="D11" s="158" t="s">
        <v>123</v>
      </c>
      <c r="E11" s="159" t="s">
        <v>2964</v>
      </c>
      <c r="G11" s="21"/>
      <c r="H11" s="19"/>
      <c r="I11" s="18"/>
    </row>
    <row r="12" spans="2:10" ht="113.1" customHeight="1">
      <c r="B12" s="405"/>
      <c r="C12" s="406"/>
      <c r="D12" s="158" t="s">
        <v>126</v>
      </c>
      <c r="E12" s="159" t="s">
        <v>3109</v>
      </c>
      <c r="G12" s="21"/>
      <c r="H12" s="19"/>
      <c r="I12" s="18"/>
    </row>
    <row r="13" spans="2:10" ht="57" customHeight="1">
      <c r="B13" s="405"/>
      <c r="C13" s="406"/>
      <c r="D13" s="158" t="s">
        <v>127</v>
      </c>
      <c r="E13" s="159" t="s">
        <v>2961</v>
      </c>
      <c r="G13" s="21"/>
      <c r="H13" s="19"/>
      <c r="I13" s="18"/>
    </row>
    <row r="14" spans="2:10" ht="60.95" customHeight="1">
      <c r="B14" s="160"/>
      <c r="C14" s="161"/>
      <c r="D14" s="162" t="s">
        <v>140</v>
      </c>
      <c r="E14" s="163" t="s">
        <v>2962</v>
      </c>
      <c r="G14" s="21"/>
      <c r="H14" s="19"/>
      <c r="I14" s="18"/>
    </row>
    <row r="15" spans="2:10" ht="22.5" customHeight="1">
      <c r="B15" s="410">
        <v>2</v>
      </c>
      <c r="C15" s="407" t="s">
        <v>535</v>
      </c>
      <c r="D15" s="166" t="s">
        <v>3108</v>
      </c>
      <c r="E15" s="167"/>
      <c r="G15" s="21"/>
      <c r="H15" s="20"/>
    </row>
    <row r="16" spans="2:10" ht="57" customHeight="1">
      <c r="B16" s="405"/>
      <c r="C16" s="408"/>
      <c r="D16" s="158" t="s">
        <v>121</v>
      </c>
      <c r="E16" s="159" t="s">
        <v>2972</v>
      </c>
      <c r="G16" s="21"/>
      <c r="H16" s="20"/>
    </row>
    <row r="17" spans="2:8" ht="60" customHeight="1">
      <c r="B17" s="405"/>
      <c r="C17" s="408"/>
      <c r="D17" s="158" t="s">
        <v>123</v>
      </c>
      <c r="E17" s="159" t="s">
        <v>2974</v>
      </c>
      <c r="G17" s="21"/>
      <c r="H17" s="20"/>
    </row>
    <row r="18" spans="2:8" ht="24" customHeight="1">
      <c r="B18" s="411"/>
      <c r="C18" s="409"/>
      <c r="D18" s="158" t="s">
        <v>126</v>
      </c>
      <c r="E18" s="163" t="s">
        <v>2510</v>
      </c>
      <c r="G18" s="21"/>
      <c r="H18" s="20"/>
    </row>
    <row r="19" spans="2:8" ht="27.95" customHeight="1">
      <c r="B19" s="168">
        <v>3</v>
      </c>
      <c r="C19" s="169" t="s">
        <v>531</v>
      </c>
      <c r="D19" s="170" t="s">
        <v>536</v>
      </c>
      <c r="E19" s="171"/>
      <c r="G19" s="22"/>
    </row>
    <row r="20" spans="2:8" ht="27.95" customHeight="1">
      <c r="B20" s="164">
        <v>4</v>
      </c>
      <c r="C20" s="165" t="s">
        <v>527</v>
      </c>
      <c r="D20" s="172" t="s">
        <v>537</v>
      </c>
      <c r="E20" s="173"/>
      <c r="G20" s="21"/>
    </row>
    <row r="21" spans="2:8" ht="39.950000000000003" customHeight="1">
      <c r="B21" s="174" t="s">
        <v>2966</v>
      </c>
      <c r="C21" s="175"/>
      <c r="D21" s="176"/>
      <c r="E21" s="177" t="s">
        <v>2967</v>
      </c>
    </row>
    <row r="22" spans="2:8" ht="18.75">
      <c r="B22" s="155"/>
      <c r="C22" s="155"/>
      <c r="D22" s="155"/>
      <c r="E22" s="155"/>
    </row>
    <row r="23" spans="2:8" ht="408.95" customHeight="1">
      <c r="B23" s="72"/>
      <c r="C23" s="192" t="s">
        <v>2960</v>
      </c>
      <c r="D23" s="178"/>
      <c r="E23" s="179" t="s">
        <v>3122</v>
      </c>
    </row>
    <row r="24" spans="2:8" ht="18.75">
      <c r="B24" s="155"/>
      <c r="C24" s="155"/>
      <c r="D24" s="155"/>
      <c r="E24" s="155"/>
    </row>
    <row r="25" spans="2:8" ht="101.1" customHeight="1">
      <c r="B25" s="72"/>
      <c r="C25" s="192" t="s">
        <v>3110</v>
      </c>
      <c r="D25" s="178"/>
      <c r="E25" s="180" t="s">
        <v>3111</v>
      </c>
    </row>
    <row r="26" spans="2:8" ht="18.75">
      <c r="B26" s="155"/>
      <c r="C26" s="155"/>
      <c r="D26" s="155"/>
      <c r="E26" s="155"/>
    </row>
    <row r="27" spans="2:8" ht="152.1" customHeight="1">
      <c r="B27" s="72"/>
      <c r="C27" s="192" t="s">
        <v>3112</v>
      </c>
      <c r="D27" s="178"/>
      <c r="E27" s="180" t="s">
        <v>3113</v>
      </c>
    </row>
    <row r="28" spans="2:8" ht="18.75">
      <c r="B28" s="155"/>
      <c r="C28" s="155"/>
      <c r="D28" s="155"/>
      <c r="E28" s="155"/>
    </row>
    <row r="29" spans="2:8" ht="206.25" customHeight="1">
      <c r="B29" s="193" t="s">
        <v>3114</v>
      </c>
      <c r="C29" s="192"/>
      <c r="D29" s="178"/>
      <c r="E29" s="180" t="s">
        <v>3123</v>
      </c>
    </row>
    <row r="30" spans="2:8" ht="18.75">
      <c r="B30" s="155"/>
      <c r="C30" s="155"/>
      <c r="D30" s="155"/>
      <c r="E30" s="155"/>
    </row>
    <row r="31" spans="2:8" ht="21.75" customHeight="1">
      <c r="B31" s="181"/>
      <c r="C31" s="187" t="s">
        <v>3124</v>
      </c>
      <c r="D31" s="182"/>
      <c r="E31" s="183"/>
    </row>
    <row r="32" spans="2:8" ht="5.25" customHeight="1">
      <c r="B32" s="155"/>
      <c r="C32" s="155"/>
      <c r="D32" s="155"/>
      <c r="E32" s="155"/>
    </row>
    <row r="33" spans="2:5" ht="18.75">
      <c r="B33" s="184"/>
      <c r="C33" s="188" t="s">
        <v>3115</v>
      </c>
      <c r="D33" s="176"/>
      <c r="E33" s="185"/>
    </row>
  </sheetData>
  <sheetProtection sheet="1" objects="1" scenarios="1" formatColumns="0" formatRows="0"/>
  <mergeCells count="6">
    <mergeCell ref="B9:B13"/>
    <mergeCell ref="C9:C13"/>
    <mergeCell ref="C15:C18"/>
    <mergeCell ref="B15:B18"/>
    <mergeCell ref="B5:E5"/>
    <mergeCell ref="B6:E6"/>
  </mergeCells>
  <hyperlinks>
    <hyperlink ref="B6" r:id="rId1" xr:uid="{59EA0932-864D-4936-A4DA-4E422C621144}"/>
  </hyperlinks>
  <pageMargins left="0.7" right="0.7" top="0.75" bottom="0.75" header="0.3" footer="0.3"/>
  <pageSetup orientation="portrait" r:id="rId2"/>
  <ignoredErrors>
    <ignoredError sqref="D10"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8FF47-38CB-6940-AC4D-C7D8FC7D4AF9}">
  <dimension ref="B1:HQ321"/>
  <sheetViews>
    <sheetView zoomScaleNormal="100" workbookViewId="0">
      <pane xSplit="7" ySplit="10" topLeftCell="GX11" activePane="bottomRight" state="frozen"/>
      <selection pane="topRight" activeCell="H1" sqref="H1"/>
      <selection pane="bottomLeft" activeCell="A11" sqref="A11"/>
      <selection pane="bottomRight"/>
    </sheetView>
  </sheetViews>
  <sheetFormatPr defaultColWidth="8.85546875" defaultRowHeight="18.75" outlineLevelRow="3" outlineLevelCol="2"/>
  <cols>
    <col min="1" max="1" width="2.28515625" style="155" customWidth="1"/>
    <col min="2" max="2" width="2.7109375" style="194" hidden="1" customWidth="1"/>
    <col min="3" max="3" width="17.42578125" style="194" customWidth="1"/>
    <col min="4" max="4" width="62" style="194" customWidth="1"/>
    <col min="5" max="5" width="31.140625" style="195" customWidth="1"/>
    <col min="6" max="6" width="31.42578125" style="155" customWidth="1"/>
    <col min="7" max="7" width="6.42578125" style="155" customWidth="1"/>
    <col min="8" max="8" width="6" style="155" hidden="1" customWidth="1" outlineLevel="1"/>
    <col min="9" max="9" width="3.42578125" style="155" hidden="1" customWidth="1" outlineLevel="2"/>
    <col min="10" max="10" width="6" style="155" hidden="1" customWidth="1" outlineLevel="2"/>
    <col min="11" max="14" width="3.42578125" style="155" hidden="1" customWidth="1" outlineLevel="2"/>
    <col min="15" max="18" width="6" style="155" hidden="1" customWidth="1" outlineLevel="2"/>
    <col min="19" max="21" width="3.42578125" style="155" hidden="1" customWidth="1" outlineLevel="2"/>
    <col min="22" max="23" width="6" style="155" hidden="1" customWidth="1" outlineLevel="2"/>
    <col min="24" max="24" width="6" style="155" hidden="1" customWidth="1" outlineLevel="1" collapsed="1"/>
    <col min="25" max="25" width="6" style="155" hidden="1" customWidth="1" outlineLevel="2"/>
    <col min="26" max="26" width="8.42578125" style="155" hidden="1" customWidth="1" outlineLevel="2"/>
    <col min="27" max="27" width="3.42578125" style="155" hidden="1" customWidth="1" outlineLevel="2"/>
    <col min="28" max="28" width="6" style="155" hidden="1" customWidth="1" outlineLevel="2"/>
    <col min="29" max="31" width="3.42578125" style="155" hidden="1" customWidth="1" outlineLevel="2"/>
    <col min="32" max="33" width="6" style="155" hidden="1" customWidth="1" outlineLevel="2"/>
    <col min="34" max="34" width="3.42578125" style="155" hidden="1" customWidth="1" outlineLevel="1" collapsed="1"/>
    <col min="35" max="35" width="3.140625" style="155" hidden="1" customWidth="1" outlineLevel="2"/>
    <col min="36" max="38" width="3.42578125" style="155" hidden="1" customWidth="1" outlineLevel="2"/>
    <col min="39" max="39" width="3.42578125" style="155" hidden="1" customWidth="1" outlineLevel="1" collapsed="1"/>
    <col min="40" max="42" width="3.42578125" style="155" hidden="1" customWidth="1" outlineLevel="2"/>
    <col min="43" max="43" width="3.42578125" style="155" hidden="1" customWidth="1" outlineLevel="1" collapsed="1"/>
    <col min="44" max="51" width="3.42578125" style="155" hidden="1" customWidth="1" outlineLevel="2"/>
    <col min="52" max="52" width="6" style="155" hidden="1" customWidth="1" outlineLevel="1" collapsed="1"/>
    <col min="53" max="53" width="6" style="155" hidden="1" customWidth="1" outlineLevel="2"/>
    <col min="54" max="54" width="3.42578125" style="155" hidden="1" customWidth="1" outlineLevel="2"/>
    <col min="55" max="55" width="6" style="155" hidden="1" customWidth="1" outlineLevel="2"/>
    <col min="56" max="61" width="3.42578125" style="155" hidden="1" customWidth="1" outlineLevel="2"/>
    <col min="62" max="62" width="6" style="155" hidden="1" customWidth="1" outlineLevel="2"/>
    <col min="63" max="63" width="3.42578125" style="155" hidden="1" customWidth="1" outlineLevel="2"/>
    <col min="64" max="64" width="6" style="155" hidden="1" customWidth="1" outlineLevel="2"/>
    <col min="65" max="67" width="3.42578125" style="155" hidden="1" customWidth="1" outlineLevel="2"/>
    <col min="68" max="68" width="6" style="155" hidden="1" customWidth="1" outlineLevel="1" collapsed="1"/>
    <col min="69" max="69" width="6" style="155" hidden="1" customWidth="1" outlineLevel="2"/>
    <col min="70" max="83" width="3.42578125" style="155" hidden="1" customWidth="1" outlineLevel="2"/>
    <col min="84" max="84" width="3.42578125" style="155" hidden="1" customWidth="1" outlineLevel="1" collapsed="1"/>
    <col min="85" max="85" width="3.42578125" style="155" hidden="1" customWidth="1" outlineLevel="2"/>
    <col min="86" max="86" width="6" style="155" hidden="1" customWidth="1" outlineLevel="2"/>
    <col min="87" max="89" width="3.42578125" style="155" hidden="1" customWidth="1" outlineLevel="2"/>
    <col min="90" max="90" width="6" style="155" hidden="1" customWidth="1" outlineLevel="2"/>
    <col min="91" max="96" width="3.42578125" style="155" hidden="1" customWidth="1" outlineLevel="2"/>
    <col min="97" max="97" width="3.42578125" style="155" hidden="1" customWidth="1" outlineLevel="1" collapsed="1"/>
    <col min="98" max="98" width="3.42578125" style="155" hidden="1" customWidth="1" outlineLevel="2"/>
    <col min="99" max="99" width="6" style="155" hidden="1" customWidth="1" outlineLevel="2"/>
    <col min="100" max="100" width="3" style="155" hidden="1" customWidth="1" outlineLevel="2"/>
    <col min="101" max="102" width="3.42578125" style="155" hidden="1" customWidth="1" outlineLevel="2"/>
    <col min="103" max="103" width="6" style="155" hidden="1" customWidth="1" outlineLevel="2"/>
    <col min="104" max="106" width="3.42578125" style="155" hidden="1" customWidth="1" outlineLevel="2"/>
    <col min="107" max="107" width="6" style="155" hidden="1" customWidth="1" outlineLevel="2"/>
    <col min="108" max="109" width="3.42578125" style="155" hidden="1" customWidth="1" outlineLevel="2"/>
    <col min="110" max="110" width="3.42578125" style="155" hidden="1" customWidth="1" outlineLevel="1" collapsed="1"/>
    <col min="111" max="111" width="3.42578125" style="155" hidden="1" customWidth="1" outlineLevel="2"/>
    <col min="112" max="112" width="6" style="155" hidden="1" customWidth="1" outlineLevel="2"/>
    <col min="113" max="116" width="3.42578125" style="155" hidden="1" customWidth="1" outlineLevel="2"/>
    <col min="117" max="117" width="3.28515625" style="155" hidden="1" customWidth="1" outlineLevel="2"/>
    <col min="118" max="121" width="3.42578125" style="155" hidden="1" customWidth="1" outlineLevel="2"/>
    <col min="122" max="122" width="3.42578125" style="155" hidden="1" customWidth="1" outlineLevel="1" collapsed="1"/>
    <col min="123" max="124" width="3.42578125" style="155" hidden="1" customWidth="1" outlineLevel="2"/>
    <col min="125" max="125" width="6" style="155" hidden="1" customWidth="1" outlineLevel="2"/>
    <col min="126" max="126" width="3.42578125" style="155" hidden="1" customWidth="1" outlineLevel="1" collapsed="1"/>
    <col min="127" max="127" width="3.42578125" style="155" hidden="1" customWidth="1" outlineLevel="2"/>
    <col min="128" max="128" width="6" style="155" hidden="1" customWidth="1" outlineLevel="2"/>
    <col min="129" max="134" width="3.42578125" style="155" hidden="1" customWidth="1" outlineLevel="2"/>
    <col min="135" max="135" width="6" style="155" hidden="1" customWidth="1" outlineLevel="2"/>
    <col min="136" max="136" width="6" style="155" hidden="1" customWidth="1" outlineLevel="1" collapsed="1"/>
    <col min="137" max="139" width="3.42578125" style="155" hidden="1" customWidth="1" outlineLevel="2"/>
    <col min="140" max="140" width="6" style="155" hidden="1" customWidth="1" outlineLevel="1" collapsed="1"/>
    <col min="141" max="141" width="3.42578125" style="155" hidden="1" customWidth="1" outlineLevel="2"/>
    <col min="142" max="142" width="3.42578125" style="155" hidden="1" customWidth="1" outlineLevel="1" collapsed="1"/>
    <col min="143" max="144" width="6" style="155" hidden="1" customWidth="1" outlineLevel="2"/>
    <col min="145" max="145" width="3.42578125" style="155" hidden="1" customWidth="1" outlineLevel="2"/>
    <col min="146" max="146" width="6" style="155" hidden="1" customWidth="1" outlineLevel="2"/>
    <col min="147" max="149" width="3.42578125" style="155" hidden="1" customWidth="1" outlineLevel="2"/>
    <col min="150" max="150" width="6" style="155" hidden="1" customWidth="1" outlineLevel="2"/>
    <col min="151" max="152" width="3.42578125" style="155" hidden="1" customWidth="1" outlineLevel="2"/>
    <col min="153" max="153" width="6" style="155" hidden="1" customWidth="1" outlineLevel="2"/>
    <col min="154" max="154" width="3.42578125" style="155" hidden="1" customWidth="1" outlineLevel="1" collapsed="1"/>
    <col min="155" max="156" width="6" style="155" hidden="1" customWidth="1" outlineLevel="2"/>
    <col min="157" max="158" width="3.42578125" style="155" hidden="1" customWidth="1" outlineLevel="2"/>
    <col min="159" max="159" width="6" style="155" hidden="1" customWidth="1" outlineLevel="2"/>
    <col min="160" max="163" width="3.42578125" style="155" hidden="1" customWidth="1" outlineLevel="2"/>
    <col min="164" max="164" width="6" style="155" hidden="1" customWidth="1" outlineLevel="2"/>
    <col min="165" max="167" width="3.42578125" style="155" hidden="1" customWidth="1" outlineLevel="2"/>
    <col min="168" max="170" width="6" style="155" hidden="1" customWidth="1" outlineLevel="2"/>
    <col min="171" max="171" width="3.42578125" style="155" hidden="1" customWidth="1" outlineLevel="1" collapsed="1"/>
    <col min="172" max="172" width="6" style="155" hidden="1" customWidth="1" outlineLevel="2"/>
    <col min="173" max="173" width="6.140625" style="155" hidden="1" customWidth="1" outlineLevel="2"/>
    <col min="174" max="174" width="6" style="155" hidden="1" customWidth="1" outlineLevel="2"/>
    <col min="175" max="175" width="5.7109375" style="155" hidden="1" customWidth="1" outlineLevel="2"/>
    <col min="176" max="177" width="3.42578125" style="155" hidden="1" customWidth="1" outlineLevel="2"/>
    <col min="178" max="179" width="6" style="155" hidden="1" customWidth="1" outlineLevel="2"/>
    <col min="180" max="180" width="8.42578125" style="155" hidden="1" customWidth="1" outlineLevel="2"/>
    <col min="181" max="181" width="3.42578125" style="155" hidden="1" customWidth="1" outlineLevel="2"/>
    <col min="182" max="182" width="6" style="155" hidden="1" customWidth="1" outlineLevel="1" collapsed="1"/>
    <col min="183" max="184" width="3.42578125" style="155" hidden="1" customWidth="1" outlineLevel="2"/>
    <col min="185" max="185" width="6" style="155" hidden="1" customWidth="1" outlineLevel="1" collapsed="1"/>
    <col min="186" max="186" width="6" style="155" hidden="1" customWidth="1" outlineLevel="2"/>
    <col min="187" max="187" width="3.42578125" style="155" hidden="1" customWidth="1" outlineLevel="2"/>
    <col min="188" max="188" width="6" style="155" hidden="1" customWidth="1" outlineLevel="2"/>
    <col min="189" max="189" width="3.42578125" style="155" hidden="1" customWidth="1" outlineLevel="2"/>
    <col min="190" max="190" width="3.42578125" style="155" hidden="1" customWidth="1" outlineLevel="1" collapsed="1"/>
    <col min="191" max="192" width="3.42578125" style="155" hidden="1" customWidth="1" outlineLevel="2"/>
    <col min="193" max="193" width="6" style="155" hidden="1" customWidth="1" outlineLevel="2"/>
    <col min="194" max="194" width="3.42578125" style="155" hidden="1" customWidth="1" outlineLevel="2"/>
    <col min="195" max="195" width="6" style="155" hidden="1" customWidth="1" outlineLevel="1" collapsed="1"/>
    <col min="196" max="199" width="3.42578125" style="155" hidden="1" customWidth="1" outlineLevel="2"/>
    <col min="200" max="200" width="6" style="155" hidden="1" customWidth="1" outlineLevel="2"/>
    <col min="201" max="203" width="3.42578125" style="155" hidden="1" customWidth="1" outlineLevel="2"/>
    <col min="204" max="204" width="6" style="155" hidden="1" customWidth="1" outlineLevel="2"/>
    <col min="205" max="211" width="3.42578125" style="155" hidden="1" customWidth="1" outlineLevel="2"/>
    <col min="212" max="212" width="3.42578125" style="155" hidden="1" customWidth="1" outlineLevel="1" collapsed="1"/>
    <col min="213" max="214" width="6" style="155" hidden="1" customWidth="1" outlineLevel="2"/>
    <col min="215" max="217" width="3.42578125" style="155" hidden="1" customWidth="1" outlineLevel="2"/>
    <col min="218" max="218" width="3.42578125" style="155" hidden="1" customWidth="1" outlineLevel="1" collapsed="1"/>
    <col min="219" max="219" width="3.42578125" style="155" hidden="1" customWidth="1" outlineLevel="2"/>
    <col min="220" max="220" width="6" style="155" hidden="1" customWidth="1" outlineLevel="1" collapsed="1"/>
    <col min="221" max="221" width="3.42578125" style="155" hidden="1" customWidth="1" outlineLevel="1"/>
    <col min="222" max="222" width="4.7109375" style="155" customWidth="1" collapsed="1"/>
    <col min="223" max="223" width="3.85546875" style="155" customWidth="1" collapsed="1"/>
    <col min="224" max="225" width="3.85546875" style="155" customWidth="1"/>
    <col min="226" max="16384" width="8.85546875" style="155"/>
  </cols>
  <sheetData>
    <row r="1" spans="2:225" ht="7.5" customHeight="1"/>
    <row r="2" spans="2:225" s="198" customFormat="1" ht="23.25">
      <c r="B2" s="196"/>
      <c r="C2" s="325" t="s">
        <v>1243</v>
      </c>
      <c r="D2" s="196"/>
      <c r="E2" s="197"/>
    </row>
    <row r="3" spans="2:225" ht="5.0999999999999996" customHeight="1"/>
    <row r="4" spans="2:225" ht="21">
      <c r="C4" s="326" t="s">
        <v>3371</v>
      </c>
      <c r="D4" s="32"/>
      <c r="E4" s="199"/>
      <c r="F4" s="200"/>
      <c r="H4" s="201"/>
      <c r="I4" s="201"/>
      <c r="J4" s="201"/>
      <c r="K4" s="201"/>
      <c r="L4" s="201"/>
      <c r="M4" s="201"/>
      <c r="N4" s="201"/>
      <c r="O4" s="201"/>
      <c r="P4" s="201"/>
      <c r="Q4" s="201"/>
      <c r="R4" s="201"/>
      <c r="S4" s="201"/>
      <c r="CA4" s="201"/>
      <c r="CB4" s="201"/>
      <c r="CC4" s="201"/>
      <c r="CD4" s="201"/>
      <c r="CE4" s="201"/>
      <c r="CF4" s="201"/>
      <c r="CG4" s="201"/>
      <c r="CH4" s="201"/>
      <c r="CI4" s="201"/>
      <c r="CJ4" s="201"/>
      <c r="CK4" s="201"/>
      <c r="CL4" s="201"/>
      <c r="CM4" s="201"/>
      <c r="CN4" s="201"/>
      <c r="CO4" s="201"/>
      <c r="CP4" s="201"/>
      <c r="CQ4" s="201"/>
      <c r="CR4" s="201"/>
      <c r="CS4" s="201"/>
      <c r="CT4" s="201"/>
      <c r="CU4" s="201"/>
      <c r="CV4" s="201"/>
      <c r="CW4" s="201"/>
      <c r="CX4" s="201"/>
      <c r="CY4" s="201"/>
      <c r="CZ4" s="201"/>
      <c r="DA4" s="201"/>
      <c r="DB4" s="201"/>
      <c r="DC4" s="201"/>
      <c r="DD4" s="201"/>
      <c r="DE4" s="201"/>
      <c r="DF4" s="201"/>
      <c r="DG4" s="201"/>
      <c r="DH4" s="201"/>
      <c r="DI4" s="201"/>
      <c r="DJ4" s="201"/>
      <c r="DK4" s="201"/>
      <c r="DL4" s="201"/>
      <c r="DM4" s="201"/>
      <c r="DN4" s="201"/>
      <c r="DO4" s="201"/>
      <c r="DP4" s="201"/>
      <c r="DQ4" s="201"/>
      <c r="DR4" s="201"/>
      <c r="DS4" s="201"/>
      <c r="DT4" s="201"/>
      <c r="DU4" s="201"/>
      <c r="DV4" s="201"/>
      <c r="DW4" s="201"/>
      <c r="DX4" s="201"/>
      <c r="DY4" s="201"/>
      <c r="DZ4" s="201"/>
      <c r="EA4" s="201"/>
      <c r="EB4" s="201"/>
      <c r="EC4" s="201"/>
      <c r="ED4" s="201"/>
      <c r="EE4" s="201"/>
      <c r="EF4" s="201"/>
      <c r="EG4" s="201"/>
      <c r="EH4" s="201"/>
      <c r="EI4" s="201"/>
      <c r="EJ4" s="201"/>
      <c r="EK4" s="201"/>
      <c r="EL4" s="201"/>
      <c r="EM4" s="201"/>
      <c r="EN4" s="201"/>
      <c r="EO4" s="201"/>
      <c r="EP4" s="201"/>
      <c r="EQ4" s="201"/>
      <c r="ER4" s="201"/>
      <c r="ES4" s="201"/>
      <c r="ET4" s="201"/>
      <c r="EU4" s="201"/>
      <c r="EV4" s="201"/>
      <c r="EW4" s="201"/>
      <c r="EX4" s="201"/>
      <c r="EY4" s="201"/>
      <c r="EZ4" s="201"/>
      <c r="FA4" s="201"/>
      <c r="FB4" s="201"/>
      <c r="FC4" s="201"/>
      <c r="FD4" s="201"/>
      <c r="FE4" s="201"/>
      <c r="FF4" s="201"/>
      <c r="FG4" s="201"/>
      <c r="FH4" s="201"/>
      <c r="FI4" s="201"/>
      <c r="FJ4" s="201"/>
      <c r="FK4" s="201"/>
      <c r="FL4" s="201"/>
      <c r="FM4" s="201"/>
      <c r="FN4" s="201"/>
      <c r="FO4" s="201"/>
      <c r="FP4" s="201"/>
      <c r="FQ4" s="201"/>
      <c r="FR4" s="201"/>
      <c r="FS4" s="201"/>
      <c r="FT4" s="201"/>
      <c r="FU4" s="201"/>
      <c r="FV4" s="201"/>
      <c r="FW4" s="201"/>
      <c r="FX4" s="201"/>
      <c r="FY4" s="201"/>
      <c r="FZ4" s="201"/>
    </row>
    <row r="5" spans="2:225">
      <c r="C5" s="202" t="s">
        <v>0</v>
      </c>
      <c r="D5" s="203"/>
      <c r="E5" s="204" t="s">
        <v>865</v>
      </c>
      <c r="F5" s="205"/>
      <c r="H5" s="194"/>
      <c r="I5" s="194"/>
      <c r="J5" s="194"/>
      <c r="K5" s="194"/>
      <c r="L5" s="194"/>
      <c r="M5" s="194"/>
      <c r="N5" s="194"/>
      <c r="O5" s="194"/>
      <c r="P5" s="194"/>
      <c r="Q5" s="194"/>
      <c r="R5" s="194"/>
      <c r="S5" s="194"/>
      <c r="CA5" s="194"/>
      <c r="CB5" s="194"/>
      <c r="CC5" s="194"/>
      <c r="CD5" s="194"/>
      <c r="CE5" s="194"/>
      <c r="CF5" s="194"/>
      <c r="CG5" s="194"/>
      <c r="CH5" s="194"/>
      <c r="CI5" s="194"/>
      <c r="CJ5" s="194"/>
      <c r="CK5" s="194"/>
      <c r="CL5" s="194"/>
      <c r="CM5" s="194"/>
      <c r="CN5" s="194"/>
      <c r="CO5" s="194"/>
      <c r="CP5" s="194"/>
      <c r="CQ5" s="194"/>
      <c r="CR5" s="194"/>
      <c r="CS5" s="194"/>
      <c r="CT5" s="194"/>
      <c r="CU5" s="194"/>
      <c r="CV5" s="194"/>
      <c r="CW5" s="194"/>
      <c r="CX5" s="194"/>
      <c r="CY5" s="194"/>
      <c r="CZ5" s="194"/>
      <c r="DA5" s="194"/>
      <c r="DB5" s="194"/>
      <c r="DC5" s="194"/>
      <c r="DD5" s="194"/>
      <c r="DE5" s="194"/>
      <c r="DF5" s="194"/>
      <c r="DG5" s="194"/>
      <c r="DH5" s="194"/>
      <c r="DI5" s="194"/>
      <c r="DJ5" s="194"/>
      <c r="DK5" s="194"/>
      <c r="DL5" s="194"/>
      <c r="DM5" s="194"/>
      <c r="DN5" s="194"/>
      <c r="DO5" s="194"/>
      <c r="DP5" s="194"/>
      <c r="DQ5" s="194"/>
      <c r="DR5" s="194"/>
      <c r="DS5" s="194"/>
      <c r="DT5" s="194"/>
      <c r="DU5" s="194"/>
      <c r="DV5" s="194"/>
      <c r="DW5" s="194"/>
      <c r="DX5" s="194"/>
      <c r="DY5" s="194"/>
      <c r="DZ5" s="194"/>
      <c r="EA5" s="194"/>
      <c r="EB5" s="194"/>
      <c r="EC5" s="194"/>
      <c r="ED5" s="194"/>
      <c r="EE5" s="194"/>
      <c r="EF5" s="194"/>
      <c r="EG5" s="194"/>
      <c r="EH5" s="194"/>
      <c r="EI5" s="194"/>
      <c r="EJ5" s="194"/>
      <c r="EK5" s="194"/>
      <c r="EL5" s="194"/>
      <c r="EM5" s="194"/>
      <c r="EN5" s="194"/>
      <c r="EO5" s="194"/>
      <c r="EP5" s="194"/>
      <c r="EQ5" s="194"/>
      <c r="ER5" s="194"/>
      <c r="ES5" s="194"/>
      <c r="ET5" s="194"/>
      <c r="EU5" s="194"/>
      <c r="EV5" s="194"/>
      <c r="EW5" s="194"/>
      <c r="EX5" s="194"/>
      <c r="EY5" s="194"/>
      <c r="EZ5" s="194"/>
      <c r="FA5" s="194"/>
      <c r="FB5" s="194"/>
      <c r="FC5" s="194"/>
      <c r="FD5" s="194"/>
      <c r="FE5" s="194"/>
      <c r="FF5" s="194"/>
      <c r="FG5" s="194"/>
      <c r="FH5" s="194"/>
      <c r="FI5" s="194"/>
      <c r="FJ5" s="194"/>
      <c r="FK5" s="194"/>
      <c r="FL5" s="194"/>
      <c r="FM5" s="194"/>
      <c r="FN5" s="194"/>
      <c r="FO5" s="194"/>
      <c r="FP5" s="194"/>
      <c r="FQ5" s="194"/>
      <c r="FR5" s="194"/>
      <c r="FS5" s="194"/>
      <c r="FT5" s="194"/>
      <c r="FU5" s="194"/>
      <c r="FV5" s="194"/>
      <c r="FW5" s="194"/>
      <c r="FX5" s="194"/>
      <c r="FY5" s="194"/>
      <c r="FZ5" s="194"/>
    </row>
    <row r="6" spans="2:225">
      <c r="C6" s="202" t="s">
        <v>6</v>
      </c>
      <c r="D6" s="203"/>
      <c r="E6" s="204" t="s">
        <v>538</v>
      </c>
      <c r="F6" s="205"/>
      <c r="H6" s="194"/>
      <c r="I6" s="194"/>
      <c r="J6" s="194"/>
      <c r="K6" s="194"/>
      <c r="L6" s="194"/>
      <c r="M6" s="194"/>
      <c r="N6" s="194"/>
      <c r="O6" s="194"/>
      <c r="P6" s="194"/>
      <c r="Q6" s="194"/>
      <c r="R6" s="194"/>
      <c r="S6" s="194"/>
      <c r="CA6" s="194"/>
      <c r="CB6" s="194"/>
      <c r="CC6" s="194"/>
      <c r="CD6" s="194"/>
      <c r="CE6" s="194"/>
      <c r="CF6" s="194"/>
      <c r="CG6" s="194"/>
      <c r="CH6" s="194"/>
      <c r="CI6" s="194"/>
      <c r="CJ6" s="194"/>
      <c r="CK6" s="194"/>
      <c r="CL6" s="194"/>
      <c r="CM6" s="194"/>
      <c r="CN6" s="194"/>
      <c r="CO6" s="194"/>
      <c r="CP6" s="194"/>
      <c r="CQ6" s="194"/>
      <c r="CR6" s="194"/>
      <c r="CS6" s="194"/>
      <c r="CT6" s="194"/>
      <c r="CU6" s="194"/>
      <c r="CV6" s="194"/>
      <c r="CW6" s="194"/>
      <c r="CX6" s="194"/>
      <c r="CY6" s="194"/>
      <c r="CZ6" s="194"/>
      <c r="DA6" s="194"/>
      <c r="DB6" s="194"/>
      <c r="DC6" s="194"/>
      <c r="DD6" s="194"/>
      <c r="DE6" s="194"/>
      <c r="DF6" s="194"/>
      <c r="DG6" s="194"/>
      <c r="DH6" s="194"/>
      <c r="DI6" s="194"/>
      <c r="DJ6" s="194"/>
      <c r="DK6" s="194"/>
      <c r="DL6" s="194"/>
      <c r="DM6" s="194"/>
      <c r="DN6" s="194"/>
      <c r="DO6" s="194"/>
      <c r="DP6" s="194"/>
      <c r="DQ6" s="194"/>
      <c r="DR6" s="194"/>
      <c r="DS6" s="194"/>
      <c r="DT6" s="194"/>
      <c r="DU6" s="194"/>
      <c r="DV6" s="194"/>
      <c r="DW6" s="194"/>
      <c r="DX6" s="194"/>
      <c r="DY6" s="194"/>
      <c r="DZ6" s="194"/>
      <c r="EA6" s="194"/>
      <c r="EB6" s="194"/>
      <c r="EC6" s="194"/>
      <c r="ED6" s="194"/>
      <c r="EE6" s="194"/>
      <c r="EF6" s="194"/>
      <c r="EG6" s="194"/>
      <c r="EH6" s="194"/>
      <c r="EI6" s="194"/>
      <c r="EJ6" s="194"/>
      <c r="EK6" s="194"/>
      <c r="EL6" s="194"/>
      <c r="EM6" s="194"/>
      <c r="EN6" s="194"/>
      <c r="EO6" s="194"/>
      <c r="EP6" s="194"/>
      <c r="EQ6" s="194"/>
      <c r="ER6" s="194"/>
      <c r="ES6" s="194"/>
      <c r="ET6" s="194"/>
      <c r="EU6" s="194"/>
      <c r="EV6" s="194"/>
      <c r="EW6" s="194"/>
      <c r="EX6" s="194"/>
      <c r="EY6" s="194"/>
      <c r="EZ6" s="194"/>
      <c r="FA6" s="194"/>
      <c r="FB6" s="194"/>
      <c r="FC6" s="194"/>
      <c r="FD6" s="194"/>
      <c r="FE6" s="194"/>
      <c r="FF6" s="194"/>
      <c r="FG6" s="194"/>
      <c r="FH6" s="194"/>
      <c r="FI6" s="194"/>
      <c r="FJ6" s="194"/>
      <c r="FK6" s="194"/>
      <c r="FL6" s="194"/>
      <c r="FM6" s="194"/>
      <c r="FN6" s="194"/>
      <c r="FO6" s="194"/>
      <c r="FP6" s="194"/>
      <c r="FQ6" s="194"/>
      <c r="FR6" s="194"/>
      <c r="FS6" s="194"/>
      <c r="FT6" s="194"/>
      <c r="FU6" s="194"/>
      <c r="FV6" s="194"/>
      <c r="FW6" s="194"/>
      <c r="FX6" s="194"/>
      <c r="FY6" s="194"/>
      <c r="FZ6" s="194"/>
    </row>
    <row r="7" spans="2:225">
      <c r="C7" s="206" t="s">
        <v>10</v>
      </c>
      <c r="D7" s="207"/>
      <c r="E7" s="208" t="s">
        <v>32</v>
      </c>
      <c r="F7" s="209"/>
      <c r="H7" s="194"/>
      <c r="I7" s="194"/>
      <c r="J7" s="194"/>
      <c r="K7" s="194"/>
      <c r="L7" s="194"/>
      <c r="M7" s="194"/>
      <c r="N7" s="194"/>
      <c r="O7" s="194"/>
      <c r="P7" s="194"/>
      <c r="Q7" s="194"/>
      <c r="R7" s="194"/>
      <c r="S7" s="194"/>
      <c r="CA7" s="194"/>
      <c r="CB7" s="194"/>
      <c r="CC7" s="194"/>
      <c r="CD7" s="194"/>
      <c r="CE7" s="194"/>
      <c r="CF7" s="194"/>
      <c r="CG7" s="194"/>
      <c r="CH7" s="194"/>
      <c r="CI7" s="194"/>
      <c r="CJ7" s="194"/>
      <c r="CK7" s="194"/>
      <c r="CL7" s="194"/>
      <c r="CM7" s="194"/>
      <c r="CN7" s="194"/>
      <c r="CO7" s="194"/>
      <c r="CP7" s="194"/>
      <c r="CQ7" s="194"/>
      <c r="CR7" s="194"/>
      <c r="CS7" s="194"/>
      <c r="CT7" s="194"/>
      <c r="CU7" s="194"/>
      <c r="CV7" s="194"/>
      <c r="CW7" s="194"/>
      <c r="CX7" s="194"/>
      <c r="CY7" s="194"/>
      <c r="CZ7" s="194"/>
      <c r="DA7" s="194"/>
      <c r="DB7" s="194"/>
      <c r="DC7" s="194"/>
      <c r="DD7" s="194"/>
      <c r="DE7" s="194"/>
      <c r="DF7" s="194"/>
      <c r="DG7" s="194"/>
      <c r="DH7" s="194"/>
      <c r="DI7" s="194"/>
      <c r="DJ7" s="194"/>
      <c r="DK7" s="194"/>
      <c r="DL7" s="194"/>
      <c r="DM7" s="194"/>
      <c r="DN7" s="194"/>
      <c r="DO7" s="194"/>
      <c r="DP7" s="194"/>
      <c r="DQ7" s="194"/>
      <c r="DR7" s="194"/>
      <c r="DS7" s="194"/>
      <c r="DT7" s="194"/>
      <c r="DU7" s="194"/>
      <c r="DV7" s="194"/>
      <c r="DW7" s="194"/>
      <c r="DX7" s="194"/>
      <c r="DY7" s="194"/>
      <c r="DZ7" s="194"/>
      <c r="EA7" s="194"/>
      <c r="EB7" s="194"/>
      <c r="EC7" s="194"/>
      <c r="ED7" s="194"/>
      <c r="EE7" s="194"/>
      <c r="EF7" s="194"/>
      <c r="EG7" s="194"/>
      <c r="EH7" s="194"/>
      <c r="EI7" s="194"/>
      <c r="EJ7" s="194"/>
      <c r="EK7" s="194"/>
      <c r="EL7" s="194"/>
      <c r="EM7" s="194"/>
      <c r="EN7" s="194"/>
      <c r="EO7" s="194"/>
      <c r="EP7" s="194"/>
      <c r="EQ7" s="194"/>
      <c r="ER7" s="194"/>
      <c r="ES7" s="194"/>
      <c r="ET7" s="194"/>
      <c r="EU7" s="194"/>
      <c r="EV7" s="194"/>
      <c r="EW7" s="194"/>
      <c r="EX7" s="194"/>
      <c r="EY7" s="194"/>
      <c r="EZ7" s="194"/>
      <c r="FA7" s="194"/>
      <c r="FB7" s="194"/>
      <c r="FC7" s="194"/>
      <c r="FD7" s="194"/>
      <c r="FE7" s="194"/>
      <c r="FF7" s="194"/>
      <c r="FG7" s="194"/>
      <c r="FH7" s="194"/>
      <c r="FI7" s="194"/>
      <c r="FJ7" s="194"/>
      <c r="FK7" s="194"/>
      <c r="FL7" s="194"/>
      <c r="FM7" s="194"/>
      <c r="FN7" s="194"/>
      <c r="FO7" s="194"/>
      <c r="FP7" s="194"/>
      <c r="FQ7" s="194"/>
      <c r="FR7" s="194"/>
      <c r="FS7" s="194"/>
      <c r="FT7" s="194"/>
      <c r="FU7" s="194"/>
      <c r="FV7" s="194"/>
      <c r="FW7" s="194"/>
      <c r="FX7" s="194"/>
      <c r="FY7" s="194"/>
      <c r="FZ7" s="194"/>
    </row>
    <row r="8" spans="2:225" ht="9.9499999999999993" customHeight="1"/>
    <row r="9" spans="2:225" ht="135.94999999999999" customHeight="1">
      <c r="C9" s="418" t="s">
        <v>3125</v>
      </c>
      <c r="D9" s="419"/>
      <c r="E9" s="419"/>
      <c r="F9" s="420"/>
      <c r="G9" s="210" t="s">
        <v>2965</v>
      </c>
      <c r="H9" s="327" t="s">
        <v>545</v>
      </c>
      <c r="I9" s="328" t="s">
        <v>128</v>
      </c>
      <c r="J9" s="328" t="s">
        <v>1581</v>
      </c>
      <c r="K9" s="328" t="s">
        <v>657</v>
      </c>
      <c r="L9" s="329" t="s">
        <v>1585</v>
      </c>
      <c r="M9" s="329" t="s">
        <v>2008</v>
      </c>
      <c r="N9" s="329" t="s">
        <v>1586</v>
      </c>
      <c r="O9" s="330" t="s">
        <v>614</v>
      </c>
      <c r="P9" s="329" t="s">
        <v>566</v>
      </c>
      <c r="Q9" s="329" t="s">
        <v>1589</v>
      </c>
      <c r="R9" s="329" t="s">
        <v>1590</v>
      </c>
      <c r="S9" s="329" t="s">
        <v>568</v>
      </c>
      <c r="T9" s="330" t="s">
        <v>1218</v>
      </c>
      <c r="U9" s="330" t="s">
        <v>233</v>
      </c>
      <c r="V9" s="329" t="s">
        <v>1592</v>
      </c>
      <c r="W9" s="329" t="s">
        <v>1593</v>
      </c>
      <c r="X9" s="331" t="s">
        <v>546</v>
      </c>
      <c r="Y9" s="332" t="s">
        <v>1596</v>
      </c>
      <c r="Z9" s="332" t="s">
        <v>1597</v>
      </c>
      <c r="AA9" s="332" t="s">
        <v>1598</v>
      </c>
      <c r="AB9" s="333" t="s">
        <v>1599</v>
      </c>
      <c r="AC9" s="332" t="s">
        <v>235</v>
      </c>
      <c r="AD9" s="332" t="s">
        <v>1600</v>
      </c>
      <c r="AE9" s="332" t="s">
        <v>238</v>
      </c>
      <c r="AF9" s="332" t="s">
        <v>1601</v>
      </c>
      <c r="AG9" s="332" t="s">
        <v>1602</v>
      </c>
      <c r="AH9" s="334" t="s">
        <v>547</v>
      </c>
      <c r="AI9" s="332" t="s">
        <v>1603</v>
      </c>
      <c r="AJ9" s="333" t="s">
        <v>1604</v>
      </c>
      <c r="AK9" s="333" t="s">
        <v>1605</v>
      </c>
      <c r="AL9" s="333" t="s">
        <v>1606</v>
      </c>
      <c r="AM9" s="334" t="s">
        <v>548</v>
      </c>
      <c r="AN9" s="333" t="s">
        <v>241</v>
      </c>
      <c r="AO9" s="332" t="s">
        <v>1794</v>
      </c>
      <c r="AP9" s="332" t="s">
        <v>243</v>
      </c>
      <c r="AQ9" s="334" t="s">
        <v>549</v>
      </c>
      <c r="AR9" s="333" t="s">
        <v>245</v>
      </c>
      <c r="AS9" s="332" t="s">
        <v>247</v>
      </c>
      <c r="AT9" s="332" t="s">
        <v>249</v>
      </c>
      <c r="AU9" s="332" t="s">
        <v>1607</v>
      </c>
      <c r="AV9" s="332" t="s">
        <v>250</v>
      </c>
      <c r="AW9" s="332" t="s">
        <v>1608</v>
      </c>
      <c r="AX9" s="333" t="s">
        <v>252</v>
      </c>
      <c r="AY9" s="332" t="s">
        <v>1609</v>
      </c>
      <c r="AZ9" s="334" t="s">
        <v>550</v>
      </c>
      <c r="BA9" s="332" t="s">
        <v>1779</v>
      </c>
      <c r="BB9" s="332" t="s">
        <v>1610</v>
      </c>
      <c r="BC9" s="332" t="s">
        <v>1611</v>
      </c>
      <c r="BD9" s="333" t="s">
        <v>254</v>
      </c>
      <c r="BE9" s="332" t="s">
        <v>1791</v>
      </c>
      <c r="BF9" s="332" t="s">
        <v>1612</v>
      </c>
      <c r="BG9" s="332" t="s">
        <v>256</v>
      </c>
      <c r="BH9" s="332" t="s">
        <v>258</v>
      </c>
      <c r="BI9" s="332" t="s">
        <v>1613</v>
      </c>
      <c r="BJ9" s="332" t="s">
        <v>260</v>
      </c>
      <c r="BK9" s="333" t="s">
        <v>262</v>
      </c>
      <c r="BL9" s="332" t="s">
        <v>1614</v>
      </c>
      <c r="BM9" s="332" t="s">
        <v>2014</v>
      </c>
      <c r="BN9" s="332" t="s">
        <v>1800</v>
      </c>
      <c r="BO9" s="332" t="s">
        <v>265</v>
      </c>
      <c r="BP9" s="331" t="s">
        <v>551</v>
      </c>
      <c r="BQ9" s="335" t="s">
        <v>1637</v>
      </c>
      <c r="BR9" s="335" t="s">
        <v>1638</v>
      </c>
      <c r="BS9" s="336" t="s">
        <v>267</v>
      </c>
      <c r="BT9" s="332" t="s">
        <v>269</v>
      </c>
      <c r="BU9" s="332" t="s">
        <v>271</v>
      </c>
      <c r="BV9" s="336" t="s">
        <v>273</v>
      </c>
      <c r="BW9" s="337" t="s">
        <v>1781</v>
      </c>
      <c r="BX9" s="338" t="s">
        <v>592</v>
      </c>
      <c r="BY9" s="338" t="s">
        <v>593</v>
      </c>
      <c r="BZ9" s="337" t="s">
        <v>275</v>
      </c>
      <c r="CA9" s="338" t="s">
        <v>594</v>
      </c>
      <c r="CB9" s="338" t="s">
        <v>595</v>
      </c>
      <c r="CC9" s="337" t="s">
        <v>1796</v>
      </c>
      <c r="CD9" s="336" t="s">
        <v>596</v>
      </c>
      <c r="CE9" s="335" t="s">
        <v>278</v>
      </c>
      <c r="CF9" s="331" t="s">
        <v>552</v>
      </c>
      <c r="CG9" s="338" t="s">
        <v>570</v>
      </c>
      <c r="CH9" s="337" t="s">
        <v>1642</v>
      </c>
      <c r="CI9" s="335" t="s">
        <v>1643</v>
      </c>
      <c r="CJ9" s="337" t="s">
        <v>1644</v>
      </c>
      <c r="CK9" s="337" t="s">
        <v>1645</v>
      </c>
      <c r="CL9" s="335" t="s">
        <v>1646</v>
      </c>
      <c r="CM9" s="338" t="s">
        <v>281</v>
      </c>
      <c r="CN9" s="333" t="s">
        <v>1652</v>
      </c>
      <c r="CO9" s="332" t="s">
        <v>283</v>
      </c>
      <c r="CP9" s="332" t="s">
        <v>2013</v>
      </c>
      <c r="CQ9" s="333" t="s">
        <v>285</v>
      </c>
      <c r="CR9" s="332" t="s">
        <v>1653</v>
      </c>
      <c r="CS9" s="334" t="s">
        <v>553</v>
      </c>
      <c r="CT9" s="333" t="s">
        <v>287</v>
      </c>
      <c r="CU9" s="332" t="s">
        <v>288</v>
      </c>
      <c r="CV9" s="332" t="s">
        <v>290</v>
      </c>
      <c r="CW9" s="333" t="s">
        <v>292</v>
      </c>
      <c r="CX9" s="333" t="s">
        <v>571</v>
      </c>
      <c r="CY9" s="332" t="s">
        <v>2305</v>
      </c>
      <c r="CZ9" s="332" t="s">
        <v>295</v>
      </c>
      <c r="DA9" s="333" t="s">
        <v>1654</v>
      </c>
      <c r="DB9" s="332" t="s">
        <v>1655</v>
      </c>
      <c r="DC9" s="332" t="s">
        <v>1656</v>
      </c>
      <c r="DD9" s="333" t="s">
        <v>297</v>
      </c>
      <c r="DE9" s="332" t="s">
        <v>1657</v>
      </c>
      <c r="DF9" s="334" t="s">
        <v>554</v>
      </c>
      <c r="DG9" s="332" t="s">
        <v>299</v>
      </c>
      <c r="DH9" s="332" t="s">
        <v>1658</v>
      </c>
      <c r="DI9" s="332" t="s">
        <v>1659</v>
      </c>
      <c r="DJ9" s="333" t="s">
        <v>1660</v>
      </c>
      <c r="DK9" s="332" t="s">
        <v>1661</v>
      </c>
      <c r="DL9" s="332" t="s">
        <v>1662</v>
      </c>
      <c r="DM9" s="332" t="s">
        <v>1663</v>
      </c>
      <c r="DN9" s="336" t="s">
        <v>1237</v>
      </c>
      <c r="DO9" s="337" t="s">
        <v>1231</v>
      </c>
      <c r="DP9" s="337" t="s">
        <v>2010</v>
      </c>
      <c r="DQ9" s="337" t="s">
        <v>1679</v>
      </c>
      <c r="DR9" s="331" t="s">
        <v>555</v>
      </c>
      <c r="DS9" s="335" t="s">
        <v>1681</v>
      </c>
      <c r="DT9" s="336" t="s">
        <v>301</v>
      </c>
      <c r="DU9" s="335" t="s">
        <v>1683</v>
      </c>
      <c r="DV9" s="334" t="s">
        <v>556</v>
      </c>
      <c r="DW9" s="335" t="s">
        <v>1684</v>
      </c>
      <c r="DX9" s="337" t="s">
        <v>2016</v>
      </c>
      <c r="DY9" s="335" t="s">
        <v>1685</v>
      </c>
      <c r="DZ9" s="335" t="s">
        <v>303</v>
      </c>
      <c r="EA9" s="337" t="s">
        <v>1686</v>
      </c>
      <c r="EB9" s="335" t="s">
        <v>1687</v>
      </c>
      <c r="EC9" s="335" t="s">
        <v>1021</v>
      </c>
      <c r="ED9" s="337" t="s">
        <v>1688</v>
      </c>
      <c r="EE9" s="337" t="s">
        <v>2040</v>
      </c>
      <c r="EF9" s="334" t="s">
        <v>1749</v>
      </c>
      <c r="EG9" s="337" t="s">
        <v>1689</v>
      </c>
      <c r="EH9" s="335" t="s">
        <v>1690</v>
      </c>
      <c r="EI9" s="337" t="s">
        <v>1691</v>
      </c>
      <c r="EJ9" s="334" t="s">
        <v>557</v>
      </c>
      <c r="EK9" s="337" t="s">
        <v>305</v>
      </c>
      <c r="EL9" s="331" t="s">
        <v>558</v>
      </c>
      <c r="EM9" s="336" t="s">
        <v>2018</v>
      </c>
      <c r="EN9" s="336" t="s">
        <v>604</v>
      </c>
      <c r="EO9" s="337" t="s">
        <v>1704</v>
      </c>
      <c r="EP9" s="337" t="s">
        <v>1705</v>
      </c>
      <c r="EQ9" s="336" t="s">
        <v>598</v>
      </c>
      <c r="ER9" s="336" t="s">
        <v>607</v>
      </c>
      <c r="ES9" s="336" t="s">
        <v>572</v>
      </c>
      <c r="ET9" s="336" t="s">
        <v>1240</v>
      </c>
      <c r="EU9" s="336" t="s">
        <v>573</v>
      </c>
      <c r="EV9" s="335" t="s">
        <v>311</v>
      </c>
      <c r="EW9" s="336" t="s">
        <v>603</v>
      </c>
      <c r="EX9" s="331" t="s">
        <v>559</v>
      </c>
      <c r="EY9" s="337" t="s">
        <v>1707</v>
      </c>
      <c r="EZ9" s="337" t="s">
        <v>1708</v>
      </c>
      <c r="FA9" s="337" t="s">
        <v>315</v>
      </c>
      <c r="FB9" s="337" t="s">
        <v>317</v>
      </c>
      <c r="FC9" s="337" t="s">
        <v>1709</v>
      </c>
      <c r="FD9" s="336" t="s">
        <v>574</v>
      </c>
      <c r="FE9" s="337" t="s">
        <v>321</v>
      </c>
      <c r="FF9" s="337" t="s">
        <v>1711</v>
      </c>
      <c r="FG9" s="335" t="s">
        <v>1712</v>
      </c>
      <c r="FH9" s="337" t="s">
        <v>1798</v>
      </c>
      <c r="FI9" s="336" t="s">
        <v>323</v>
      </c>
      <c r="FJ9" s="336" t="s">
        <v>325</v>
      </c>
      <c r="FK9" s="335" t="s">
        <v>327</v>
      </c>
      <c r="FL9" s="337" t="s">
        <v>328</v>
      </c>
      <c r="FM9" s="335" t="s">
        <v>1715</v>
      </c>
      <c r="FN9" s="337" t="s">
        <v>1718</v>
      </c>
      <c r="FO9" s="331" t="s">
        <v>560</v>
      </c>
      <c r="FP9" s="337" t="s">
        <v>1720</v>
      </c>
      <c r="FQ9" s="337" t="s">
        <v>2005</v>
      </c>
      <c r="FR9" s="337" t="s">
        <v>1721</v>
      </c>
      <c r="FS9" s="337" t="s">
        <v>1722</v>
      </c>
      <c r="FT9" s="336" t="s">
        <v>330</v>
      </c>
      <c r="FU9" s="337" t="s">
        <v>1726</v>
      </c>
      <c r="FV9" s="337" t="s">
        <v>2003</v>
      </c>
      <c r="FW9" s="337" t="s">
        <v>1727</v>
      </c>
      <c r="FX9" s="335" t="s">
        <v>1728</v>
      </c>
      <c r="FY9" s="335" t="s">
        <v>223</v>
      </c>
      <c r="FZ9" s="331" t="s">
        <v>578</v>
      </c>
      <c r="GA9" s="338" t="s">
        <v>579</v>
      </c>
      <c r="GB9" s="335" t="s">
        <v>1732</v>
      </c>
      <c r="GC9" s="334" t="s">
        <v>1752</v>
      </c>
      <c r="GD9" s="335" t="s">
        <v>2011</v>
      </c>
      <c r="GE9" s="332" t="s">
        <v>333</v>
      </c>
      <c r="GF9" s="337" t="s">
        <v>1733</v>
      </c>
      <c r="GG9" s="336" t="s">
        <v>605</v>
      </c>
      <c r="GH9" s="334" t="s">
        <v>562</v>
      </c>
      <c r="GI9" s="336" t="s">
        <v>336</v>
      </c>
      <c r="GJ9" s="337" t="s">
        <v>575</v>
      </c>
      <c r="GK9" s="336" t="s">
        <v>580</v>
      </c>
      <c r="GL9" s="337" t="s">
        <v>1737</v>
      </c>
      <c r="GM9" s="331" t="s">
        <v>563</v>
      </c>
      <c r="GN9" s="336" t="s">
        <v>597</v>
      </c>
      <c r="GO9" s="336" t="s">
        <v>340</v>
      </c>
      <c r="GP9" s="336" t="s">
        <v>1234</v>
      </c>
      <c r="GQ9" s="337" t="s">
        <v>1739</v>
      </c>
      <c r="GR9" s="336" t="s">
        <v>1235</v>
      </c>
      <c r="GS9" s="337" t="s">
        <v>1741</v>
      </c>
      <c r="GT9" s="337" t="s">
        <v>1742</v>
      </c>
      <c r="GU9" s="336" t="s">
        <v>585</v>
      </c>
      <c r="GV9" s="336" t="s">
        <v>587</v>
      </c>
      <c r="GW9" s="336" t="s">
        <v>588</v>
      </c>
      <c r="GX9" s="336" t="s">
        <v>343</v>
      </c>
      <c r="GY9" s="336" t="s">
        <v>1220</v>
      </c>
      <c r="GZ9" s="336" t="s">
        <v>345</v>
      </c>
      <c r="HA9" s="336" t="s">
        <v>348</v>
      </c>
      <c r="HB9" s="336" t="s">
        <v>1222</v>
      </c>
      <c r="HC9" s="337" t="s">
        <v>1745</v>
      </c>
      <c r="HD9" s="331" t="s">
        <v>564</v>
      </c>
      <c r="HE9" s="336" t="s">
        <v>601</v>
      </c>
      <c r="HF9" s="336" t="s">
        <v>599</v>
      </c>
      <c r="HG9" s="336" t="s">
        <v>583</v>
      </c>
      <c r="HH9" s="336" t="s">
        <v>352</v>
      </c>
      <c r="HI9" s="336" t="s">
        <v>576</v>
      </c>
      <c r="HJ9" s="331" t="s">
        <v>589</v>
      </c>
      <c r="HK9" s="336" t="s">
        <v>591</v>
      </c>
      <c r="HL9" s="331" t="s">
        <v>1755</v>
      </c>
      <c r="HM9" s="339" t="s">
        <v>1747</v>
      </c>
      <c r="HN9" s="211"/>
      <c r="HO9" s="211"/>
      <c r="HP9" s="211"/>
      <c r="HQ9" s="211"/>
    </row>
    <row r="10" spans="2:225" ht="42" customHeight="1">
      <c r="B10" s="212" t="s">
        <v>398</v>
      </c>
      <c r="C10" s="213" t="s">
        <v>93</v>
      </c>
      <c r="D10" s="214" t="s">
        <v>541</v>
      </c>
      <c r="E10" s="215" t="s">
        <v>3126</v>
      </c>
      <c r="F10" s="215" t="s">
        <v>1217</v>
      </c>
      <c r="G10" s="216"/>
      <c r="H10" s="340" t="s">
        <v>1580</v>
      </c>
      <c r="I10" s="341" t="s">
        <v>224</v>
      </c>
      <c r="J10" s="342" t="s">
        <v>1582</v>
      </c>
      <c r="K10" s="342" t="s">
        <v>1583</v>
      </c>
      <c r="L10" s="343" t="s">
        <v>1587</v>
      </c>
      <c r="M10" s="343" t="s">
        <v>2007</v>
      </c>
      <c r="N10" s="343" t="s">
        <v>1588</v>
      </c>
      <c r="O10" s="344" t="s">
        <v>1221</v>
      </c>
      <c r="P10" s="345" t="s">
        <v>228</v>
      </c>
      <c r="Q10" s="343" t="s">
        <v>229</v>
      </c>
      <c r="R10" s="343" t="s">
        <v>1591</v>
      </c>
      <c r="S10" s="343" t="s">
        <v>230</v>
      </c>
      <c r="T10" s="344" t="s">
        <v>612</v>
      </c>
      <c r="U10" s="346" t="s">
        <v>232</v>
      </c>
      <c r="V10" s="343" t="s">
        <v>1594</v>
      </c>
      <c r="W10" s="343" t="s">
        <v>1595</v>
      </c>
      <c r="X10" s="340" t="s">
        <v>1584</v>
      </c>
      <c r="Y10" s="347" t="s">
        <v>1615</v>
      </c>
      <c r="Z10" s="347" t="s">
        <v>1616</v>
      </c>
      <c r="AA10" s="347" t="s">
        <v>1617</v>
      </c>
      <c r="AB10" s="348" t="s">
        <v>1618</v>
      </c>
      <c r="AC10" s="347" t="s">
        <v>234</v>
      </c>
      <c r="AD10" s="347" t="s">
        <v>236</v>
      </c>
      <c r="AE10" s="347" t="s">
        <v>237</v>
      </c>
      <c r="AF10" s="347" t="s">
        <v>1619</v>
      </c>
      <c r="AG10" s="347" t="s">
        <v>1620</v>
      </c>
      <c r="AH10" s="349" t="s">
        <v>1621</v>
      </c>
      <c r="AI10" s="347" t="s">
        <v>1622</v>
      </c>
      <c r="AJ10" s="348" t="s">
        <v>239</v>
      </c>
      <c r="AK10" s="348" t="s">
        <v>1623</v>
      </c>
      <c r="AL10" s="348" t="s">
        <v>1624</v>
      </c>
      <c r="AM10" s="349" t="s">
        <v>1625</v>
      </c>
      <c r="AN10" s="348" t="s">
        <v>240</v>
      </c>
      <c r="AO10" s="347" t="s">
        <v>1793</v>
      </c>
      <c r="AP10" s="347" t="s">
        <v>242</v>
      </c>
      <c r="AQ10" s="349" t="s">
        <v>1626</v>
      </c>
      <c r="AR10" s="348" t="s">
        <v>244</v>
      </c>
      <c r="AS10" s="347" t="s">
        <v>246</v>
      </c>
      <c r="AT10" s="347" t="s">
        <v>248</v>
      </c>
      <c r="AU10" s="347" t="s">
        <v>1627</v>
      </c>
      <c r="AV10" s="347" t="s">
        <v>1628</v>
      </c>
      <c r="AW10" s="347" t="s">
        <v>1629</v>
      </c>
      <c r="AX10" s="348" t="s">
        <v>251</v>
      </c>
      <c r="AY10" s="347" t="s">
        <v>1630</v>
      </c>
      <c r="AZ10" s="349" t="s">
        <v>1631</v>
      </c>
      <c r="BA10" s="347" t="s">
        <v>1778</v>
      </c>
      <c r="BB10" s="347" t="s">
        <v>1632</v>
      </c>
      <c r="BC10" s="347" t="s">
        <v>1633</v>
      </c>
      <c r="BD10" s="348" t="s">
        <v>253</v>
      </c>
      <c r="BE10" s="347" t="s">
        <v>1792</v>
      </c>
      <c r="BF10" s="347" t="s">
        <v>1634</v>
      </c>
      <c r="BG10" s="347" t="s">
        <v>255</v>
      </c>
      <c r="BH10" s="347" t="s">
        <v>257</v>
      </c>
      <c r="BI10" s="347" t="s">
        <v>1635</v>
      </c>
      <c r="BJ10" s="347" t="s">
        <v>259</v>
      </c>
      <c r="BK10" s="348" t="s">
        <v>261</v>
      </c>
      <c r="BL10" s="347" t="s">
        <v>1636</v>
      </c>
      <c r="BM10" s="347" t="s">
        <v>263</v>
      </c>
      <c r="BN10" s="347" t="s">
        <v>1799</v>
      </c>
      <c r="BO10" s="347" t="s">
        <v>264</v>
      </c>
      <c r="BP10" s="340" t="s">
        <v>1242</v>
      </c>
      <c r="BQ10" s="350" t="s">
        <v>1639</v>
      </c>
      <c r="BR10" s="348" t="s">
        <v>1640</v>
      </c>
      <c r="BS10" s="346" t="s">
        <v>266</v>
      </c>
      <c r="BT10" s="347" t="s">
        <v>268</v>
      </c>
      <c r="BU10" s="347" t="s">
        <v>270</v>
      </c>
      <c r="BV10" s="346" t="s">
        <v>272</v>
      </c>
      <c r="BW10" s="351" t="s">
        <v>1780</v>
      </c>
      <c r="BX10" s="352" t="s">
        <v>1228</v>
      </c>
      <c r="BY10" s="352" t="s">
        <v>1229</v>
      </c>
      <c r="BZ10" s="351" t="s">
        <v>274</v>
      </c>
      <c r="CA10" s="352" t="s">
        <v>276</v>
      </c>
      <c r="CB10" s="352" t="s">
        <v>277</v>
      </c>
      <c r="CC10" s="351" t="s">
        <v>1795</v>
      </c>
      <c r="CD10" s="346" t="s">
        <v>1227</v>
      </c>
      <c r="CE10" s="350" t="s">
        <v>1641</v>
      </c>
      <c r="CF10" s="340" t="s">
        <v>1578</v>
      </c>
      <c r="CG10" s="352" t="s">
        <v>279</v>
      </c>
      <c r="CH10" s="351" t="s">
        <v>1647</v>
      </c>
      <c r="CI10" s="350" t="s">
        <v>1648</v>
      </c>
      <c r="CJ10" s="351" t="s">
        <v>1649</v>
      </c>
      <c r="CK10" s="351" t="s">
        <v>1650</v>
      </c>
      <c r="CL10" s="350" t="s">
        <v>1651</v>
      </c>
      <c r="CM10" s="352" t="s">
        <v>280</v>
      </c>
      <c r="CN10" s="348" t="s">
        <v>1664</v>
      </c>
      <c r="CO10" s="347" t="s">
        <v>282</v>
      </c>
      <c r="CP10" s="347" t="s">
        <v>2012</v>
      </c>
      <c r="CQ10" s="348" t="s">
        <v>284</v>
      </c>
      <c r="CR10" s="347" t="s">
        <v>1665</v>
      </c>
      <c r="CS10" s="349" t="s">
        <v>1666</v>
      </c>
      <c r="CT10" s="348" t="s">
        <v>286</v>
      </c>
      <c r="CU10" s="347" t="s">
        <v>1667</v>
      </c>
      <c r="CV10" s="347" t="s">
        <v>289</v>
      </c>
      <c r="CW10" s="348" t="s">
        <v>291</v>
      </c>
      <c r="CX10" s="348" t="s">
        <v>293</v>
      </c>
      <c r="CY10" s="347" t="s">
        <v>2304</v>
      </c>
      <c r="CZ10" s="347" t="s">
        <v>294</v>
      </c>
      <c r="DA10" s="348" t="s">
        <v>1668</v>
      </c>
      <c r="DB10" s="347" t="s">
        <v>1669</v>
      </c>
      <c r="DC10" s="347" t="s">
        <v>1670</v>
      </c>
      <c r="DD10" s="348" t="s">
        <v>296</v>
      </c>
      <c r="DE10" s="347" t="s">
        <v>1671</v>
      </c>
      <c r="DF10" s="349" t="s">
        <v>1672</v>
      </c>
      <c r="DG10" s="347" t="s">
        <v>298</v>
      </c>
      <c r="DH10" s="347" t="s">
        <v>1673</v>
      </c>
      <c r="DI10" s="347" t="s">
        <v>1674</v>
      </c>
      <c r="DJ10" s="348" t="s">
        <v>1675</v>
      </c>
      <c r="DK10" s="347" t="s">
        <v>1676</v>
      </c>
      <c r="DL10" s="347" t="s">
        <v>1677</v>
      </c>
      <c r="DM10" s="347" t="s">
        <v>1678</v>
      </c>
      <c r="DN10" s="346" t="s">
        <v>1236</v>
      </c>
      <c r="DO10" s="351" t="s">
        <v>1230</v>
      </c>
      <c r="DP10" s="351" t="s">
        <v>2009</v>
      </c>
      <c r="DQ10" s="351" t="s">
        <v>1680</v>
      </c>
      <c r="DR10" s="340" t="s">
        <v>1579</v>
      </c>
      <c r="DS10" s="350" t="s">
        <v>1682</v>
      </c>
      <c r="DT10" s="346" t="s">
        <v>300</v>
      </c>
      <c r="DU10" s="350" t="s">
        <v>1692</v>
      </c>
      <c r="DV10" s="349" t="s">
        <v>1693</v>
      </c>
      <c r="DW10" s="350" t="s">
        <v>1694</v>
      </c>
      <c r="DX10" s="351" t="s">
        <v>2015</v>
      </c>
      <c r="DY10" s="350" t="s">
        <v>1695</v>
      </c>
      <c r="DZ10" s="348" t="s">
        <v>302</v>
      </c>
      <c r="EA10" s="347" t="s">
        <v>1696</v>
      </c>
      <c r="EB10" s="348" t="s">
        <v>1697</v>
      </c>
      <c r="EC10" s="350" t="s">
        <v>1698</v>
      </c>
      <c r="ED10" s="351" t="s">
        <v>1699</v>
      </c>
      <c r="EE10" s="351" t="s">
        <v>2039</v>
      </c>
      <c r="EF10" s="349" t="s">
        <v>1700</v>
      </c>
      <c r="EG10" s="351" t="s">
        <v>1701</v>
      </c>
      <c r="EH10" s="350" t="s">
        <v>1702</v>
      </c>
      <c r="EI10" s="351" t="s">
        <v>1703</v>
      </c>
      <c r="EJ10" s="349" t="s">
        <v>1750</v>
      </c>
      <c r="EK10" s="351" t="s">
        <v>304</v>
      </c>
      <c r="EL10" s="340" t="s">
        <v>306</v>
      </c>
      <c r="EM10" s="346" t="s">
        <v>2017</v>
      </c>
      <c r="EN10" s="346" t="s">
        <v>307</v>
      </c>
      <c r="EO10" s="347" t="s">
        <v>308</v>
      </c>
      <c r="EP10" s="347" t="s">
        <v>1706</v>
      </c>
      <c r="EQ10" s="346" t="s">
        <v>1238</v>
      </c>
      <c r="ER10" s="346" t="s">
        <v>606</v>
      </c>
      <c r="ES10" s="353" t="s">
        <v>1223</v>
      </c>
      <c r="ET10" s="353" t="s">
        <v>602</v>
      </c>
      <c r="EU10" s="353" t="s">
        <v>309</v>
      </c>
      <c r="EV10" s="348" t="s">
        <v>310</v>
      </c>
      <c r="EW10" s="354" t="s">
        <v>1239</v>
      </c>
      <c r="EX10" s="355" t="s">
        <v>312</v>
      </c>
      <c r="EY10" s="351" t="s">
        <v>1710</v>
      </c>
      <c r="EZ10" s="347" t="s">
        <v>313</v>
      </c>
      <c r="FA10" s="347" t="s">
        <v>314</v>
      </c>
      <c r="FB10" s="347" t="s">
        <v>316</v>
      </c>
      <c r="FC10" s="347" t="s">
        <v>318</v>
      </c>
      <c r="FD10" s="354" t="s">
        <v>319</v>
      </c>
      <c r="FE10" s="347" t="s">
        <v>320</v>
      </c>
      <c r="FF10" s="347" t="s">
        <v>1713</v>
      </c>
      <c r="FG10" s="350" t="s">
        <v>1714</v>
      </c>
      <c r="FH10" s="356" t="s">
        <v>1797</v>
      </c>
      <c r="FI10" s="354" t="s">
        <v>322</v>
      </c>
      <c r="FJ10" s="354" t="s">
        <v>324</v>
      </c>
      <c r="FK10" s="350" t="s">
        <v>326</v>
      </c>
      <c r="FL10" s="351" t="s">
        <v>1716</v>
      </c>
      <c r="FM10" s="350" t="s">
        <v>1717</v>
      </c>
      <c r="FN10" s="351" t="s">
        <v>1719</v>
      </c>
      <c r="FO10" s="357" t="s">
        <v>329</v>
      </c>
      <c r="FP10" s="351" t="s">
        <v>1723</v>
      </c>
      <c r="FQ10" s="351" t="s">
        <v>2004</v>
      </c>
      <c r="FR10" s="351" t="s">
        <v>1724</v>
      </c>
      <c r="FS10" s="351" t="s">
        <v>1725</v>
      </c>
      <c r="FT10" s="353" t="s">
        <v>581</v>
      </c>
      <c r="FU10" s="351" t="s">
        <v>1729</v>
      </c>
      <c r="FV10" s="351" t="s">
        <v>2002</v>
      </c>
      <c r="FW10" s="351" t="s">
        <v>1730</v>
      </c>
      <c r="FX10" s="350" t="s">
        <v>1731</v>
      </c>
      <c r="FY10" s="350" t="s">
        <v>331</v>
      </c>
      <c r="FZ10" s="357" t="s">
        <v>1244</v>
      </c>
      <c r="GA10" s="358" t="s">
        <v>1219</v>
      </c>
      <c r="GB10" s="350" t="s">
        <v>1734</v>
      </c>
      <c r="GC10" s="349" t="s">
        <v>1751</v>
      </c>
      <c r="GD10" s="350" t="s">
        <v>1735</v>
      </c>
      <c r="GE10" s="347" t="s">
        <v>332</v>
      </c>
      <c r="GF10" s="351" t="s">
        <v>334</v>
      </c>
      <c r="GG10" s="354" t="s">
        <v>1241</v>
      </c>
      <c r="GH10" s="349" t="s">
        <v>1736</v>
      </c>
      <c r="GI10" s="354" t="s">
        <v>335</v>
      </c>
      <c r="GJ10" s="351" t="s">
        <v>337</v>
      </c>
      <c r="GK10" s="354" t="s">
        <v>338</v>
      </c>
      <c r="GL10" s="351" t="s">
        <v>1738</v>
      </c>
      <c r="GM10" s="355" t="s">
        <v>1225</v>
      </c>
      <c r="GN10" s="354" t="s">
        <v>1232</v>
      </c>
      <c r="GO10" s="354" t="s">
        <v>339</v>
      </c>
      <c r="GP10" s="354" t="s">
        <v>1233</v>
      </c>
      <c r="GQ10" s="351" t="s">
        <v>1740</v>
      </c>
      <c r="GR10" s="354" t="s">
        <v>1226</v>
      </c>
      <c r="GS10" s="351" t="s">
        <v>1743</v>
      </c>
      <c r="GT10" s="351" t="s">
        <v>1744</v>
      </c>
      <c r="GU10" s="354" t="s">
        <v>584</v>
      </c>
      <c r="GV10" s="354" t="s">
        <v>586</v>
      </c>
      <c r="GW10" s="354" t="s">
        <v>341</v>
      </c>
      <c r="GX10" s="354" t="s">
        <v>342</v>
      </c>
      <c r="GY10" s="354" t="s">
        <v>346</v>
      </c>
      <c r="GZ10" s="354" t="s">
        <v>344</v>
      </c>
      <c r="HA10" s="354" t="s">
        <v>347</v>
      </c>
      <c r="HB10" s="354" t="s">
        <v>349</v>
      </c>
      <c r="HC10" s="351" t="s">
        <v>1746</v>
      </c>
      <c r="HD10" s="355" t="s">
        <v>1245</v>
      </c>
      <c r="HE10" s="354" t="s">
        <v>600</v>
      </c>
      <c r="HF10" s="354" t="s">
        <v>350</v>
      </c>
      <c r="HG10" s="354" t="s">
        <v>582</v>
      </c>
      <c r="HH10" s="354" t="s">
        <v>351</v>
      </c>
      <c r="HI10" s="359" t="s">
        <v>1224</v>
      </c>
      <c r="HJ10" s="360" t="s">
        <v>1753</v>
      </c>
      <c r="HK10" s="354" t="s">
        <v>590</v>
      </c>
      <c r="HL10" s="355" t="s">
        <v>1754</v>
      </c>
      <c r="HM10" s="361" t="s">
        <v>1748</v>
      </c>
      <c r="HN10" s="217"/>
      <c r="HO10" s="217"/>
      <c r="HP10" s="217"/>
      <c r="HQ10" s="217"/>
    </row>
    <row r="11" spans="2:225">
      <c r="B11" s="218"/>
      <c r="C11" s="219" t="s">
        <v>116</v>
      </c>
      <c r="D11" s="220" t="s">
        <v>94</v>
      </c>
      <c r="E11" s="221"/>
      <c r="F11" s="222"/>
      <c r="G11" s="223"/>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5"/>
    </row>
    <row r="12" spans="2:225" hidden="1" outlineLevel="1">
      <c r="B12" s="226"/>
      <c r="C12" s="227" t="s">
        <v>116</v>
      </c>
      <c r="D12" s="228" t="s">
        <v>3127</v>
      </c>
      <c r="E12" s="229"/>
      <c r="F12" s="229"/>
      <c r="G12" s="230"/>
      <c r="H12" s="231"/>
      <c r="I12" s="232"/>
      <c r="J12" s="233"/>
      <c r="K12" s="233"/>
      <c r="L12" s="233"/>
      <c r="M12" s="233"/>
      <c r="N12" s="233"/>
      <c r="O12" s="233"/>
      <c r="P12" s="233"/>
      <c r="Q12" s="233"/>
      <c r="R12" s="233"/>
      <c r="S12" s="233"/>
      <c r="T12" s="233"/>
      <c r="U12" s="233"/>
      <c r="V12" s="233"/>
      <c r="W12" s="233"/>
      <c r="X12" s="231"/>
      <c r="Y12" s="233"/>
      <c r="Z12" s="233"/>
      <c r="AA12" s="233"/>
      <c r="AB12" s="233"/>
      <c r="AC12" s="233"/>
      <c r="AD12" s="233"/>
      <c r="AE12" s="233"/>
      <c r="AF12" s="233"/>
      <c r="AG12" s="233"/>
      <c r="AH12" s="231"/>
      <c r="AI12" s="233"/>
      <c r="AJ12" s="233"/>
      <c r="AK12" s="233"/>
      <c r="AL12" s="233"/>
      <c r="AM12" s="231"/>
      <c r="AN12" s="233"/>
      <c r="AO12" s="233"/>
      <c r="AP12" s="233"/>
      <c r="AQ12" s="231"/>
      <c r="AR12" s="233"/>
      <c r="AS12" s="233"/>
      <c r="AT12" s="233"/>
      <c r="AU12" s="233"/>
      <c r="AV12" s="233"/>
      <c r="AW12" s="233"/>
      <c r="AX12" s="233"/>
      <c r="AY12" s="233"/>
      <c r="AZ12" s="231"/>
      <c r="BA12" s="233"/>
      <c r="BB12" s="233"/>
      <c r="BC12" s="233"/>
      <c r="BD12" s="233"/>
      <c r="BE12" s="233"/>
      <c r="BF12" s="233"/>
      <c r="BG12" s="233"/>
      <c r="BH12" s="233"/>
      <c r="BI12" s="233"/>
      <c r="BJ12" s="233"/>
      <c r="BK12" s="233"/>
      <c r="BL12" s="233"/>
      <c r="BM12" s="233"/>
      <c r="BN12" s="233"/>
      <c r="BO12" s="233"/>
      <c r="BP12" s="231"/>
      <c r="BQ12" s="233"/>
      <c r="BR12" s="233"/>
      <c r="BS12" s="233"/>
      <c r="BT12" s="233"/>
      <c r="BU12" s="233"/>
      <c r="BV12" s="233"/>
      <c r="BW12" s="233"/>
      <c r="BX12" s="233"/>
      <c r="BY12" s="233"/>
      <c r="BZ12" s="233"/>
      <c r="CA12" s="233"/>
      <c r="CB12" s="233"/>
      <c r="CC12" s="233"/>
      <c r="CD12" s="233"/>
      <c r="CE12" s="233"/>
      <c r="CF12" s="231"/>
      <c r="CG12" s="233"/>
      <c r="CH12" s="233"/>
      <c r="CI12" s="233"/>
      <c r="CJ12" s="233"/>
      <c r="CK12" s="233"/>
      <c r="CL12" s="233"/>
      <c r="CM12" s="233"/>
      <c r="CN12" s="233"/>
      <c r="CO12" s="233"/>
      <c r="CP12" s="233"/>
      <c r="CQ12" s="233"/>
      <c r="CR12" s="233"/>
      <c r="CS12" s="231"/>
      <c r="CT12" s="233"/>
      <c r="CU12" s="233"/>
      <c r="CV12" s="233"/>
      <c r="CW12" s="233"/>
      <c r="CX12" s="233"/>
      <c r="CY12" s="233"/>
      <c r="CZ12" s="233"/>
      <c r="DA12" s="233"/>
      <c r="DB12" s="233"/>
      <c r="DC12" s="233"/>
      <c r="DD12" s="233"/>
      <c r="DE12" s="233"/>
      <c r="DF12" s="231"/>
      <c r="DG12" s="233"/>
      <c r="DH12" s="233"/>
      <c r="DI12" s="233"/>
      <c r="DJ12" s="233"/>
      <c r="DK12" s="233"/>
      <c r="DL12" s="233"/>
      <c r="DM12" s="233"/>
      <c r="DN12" s="233"/>
      <c r="DO12" s="233"/>
      <c r="DP12" s="233"/>
      <c r="DQ12" s="233"/>
      <c r="DR12" s="231"/>
      <c r="DS12" s="233"/>
      <c r="DT12" s="233"/>
      <c r="DU12" s="233"/>
      <c r="DV12" s="231"/>
      <c r="DW12" s="233"/>
      <c r="DX12" s="233"/>
      <c r="DY12" s="233"/>
      <c r="DZ12" s="233"/>
      <c r="EA12" s="233"/>
      <c r="EB12" s="233"/>
      <c r="EC12" s="233"/>
      <c r="ED12" s="233"/>
      <c r="EE12" s="233"/>
      <c r="EF12" s="231"/>
      <c r="EG12" s="233"/>
      <c r="EH12" s="233"/>
      <c r="EI12" s="233"/>
      <c r="EJ12" s="231"/>
      <c r="EK12" s="233"/>
      <c r="EL12" s="231"/>
      <c r="EM12" s="233"/>
      <c r="EN12" s="233"/>
      <c r="EO12" s="233"/>
      <c r="EP12" s="233"/>
      <c r="EQ12" s="233"/>
      <c r="ER12" s="233"/>
      <c r="ES12" s="233"/>
      <c r="ET12" s="233"/>
      <c r="EU12" s="233"/>
      <c r="EV12" s="233"/>
      <c r="EW12" s="233"/>
      <c r="EX12" s="231"/>
      <c r="EY12" s="233"/>
      <c r="EZ12" s="233"/>
      <c r="FA12" s="233"/>
      <c r="FB12" s="233"/>
      <c r="FC12" s="233"/>
      <c r="FD12" s="233"/>
      <c r="FE12" s="233"/>
      <c r="FF12" s="233"/>
      <c r="FG12" s="233"/>
      <c r="FH12" s="233"/>
      <c r="FI12" s="233"/>
      <c r="FJ12" s="233"/>
      <c r="FK12" s="233"/>
      <c r="FL12" s="233"/>
      <c r="FM12" s="233"/>
      <c r="FN12" s="233"/>
      <c r="FO12" s="231"/>
      <c r="FP12" s="233"/>
      <c r="FQ12" s="233"/>
      <c r="FR12" s="233"/>
      <c r="FS12" s="233"/>
      <c r="FT12" s="233"/>
      <c r="FU12" s="233"/>
      <c r="FV12" s="233"/>
      <c r="FW12" s="233"/>
      <c r="FX12" s="233"/>
      <c r="FY12" s="233"/>
      <c r="FZ12" s="231"/>
      <c r="GA12" s="233"/>
      <c r="GB12" s="233"/>
      <c r="GC12" s="231"/>
      <c r="GD12" s="233"/>
      <c r="GE12" s="233"/>
      <c r="GF12" s="233"/>
      <c r="GG12" s="233"/>
      <c r="GH12" s="231"/>
      <c r="GI12" s="233"/>
      <c r="GJ12" s="233"/>
      <c r="GK12" s="233"/>
      <c r="GL12" s="233"/>
      <c r="GM12" s="231"/>
      <c r="GN12" s="233"/>
      <c r="GO12" s="233"/>
      <c r="GP12" s="233"/>
      <c r="GQ12" s="233"/>
      <c r="GR12" s="233"/>
      <c r="GS12" s="233"/>
      <c r="GT12" s="233"/>
      <c r="GU12" s="233"/>
      <c r="GV12" s="233"/>
      <c r="GW12" s="233"/>
      <c r="GX12" s="233"/>
      <c r="GY12" s="233"/>
      <c r="GZ12" s="233"/>
      <c r="HA12" s="233"/>
      <c r="HB12" s="233"/>
      <c r="HC12" s="233"/>
      <c r="HD12" s="231"/>
      <c r="HE12" s="233"/>
      <c r="HF12" s="233"/>
      <c r="HG12" s="233"/>
      <c r="HH12" s="233"/>
      <c r="HI12" s="233"/>
      <c r="HJ12" s="231"/>
      <c r="HK12" s="233"/>
      <c r="HL12" s="231"/>
      <c r="HM12" s="234"/>
      <c r="HN12" s="235"/>
      <c r="HO12" s="235"/>
      <c r="HP12" s="235"/>
      <c r="HQ12" s="235"/>
    </row>
    <row r="13" spans="2:225" hidden="1" outlineLevel="1">
      <c r="B13" s="226"/>
      <c r="C13" s="227" t="s">
        <v>116</v>
      </c>
      <c r="D13" s="236" t="s">
        <v>3128</v>
      </c>
      <c r="E13" s="237"/>
      <c r="F13" s="237"/>
      <c r="G13" s="230"/>
      <c r="H13" s="238"/>
      <c r="I13" s="239"/>
      <c r="J13" s="240"/>
      <c r="K13" s="240"/>
      <c r="L13" s="240"/>
      <c r="M13" s="240"/>
      <c r="N13" s="240"/>
      <c r="O13" s="240"/>
      <c r="P13" s="240"/>
      <c r="Q13" s="240"/>
      <c r="R13" s="240"/>
      <c r="S13" s="240"/>
      <c r="T13" s="240"/>
      <c r="U13" s="240"/>
      <c r="V13" s="240"/>
      <c r="W13" s="240"/>
      <c r="X13" s="238"/>
      <c r="Y13" s="240"/>
      <c r="Z13" s="240"/>
      <c r="AA13" s="240"/>
      <c r="AB13" s="240"/>
      <c r="AC13" s="240"/>
      <c r="AD13" s="240"/>
      <c r="AE13" s="240"/>
      <c r="AF13" s="240"/>
      <c r="AG13" s="240"/>
      <c r="AH13" s="238"/>
      <c r="AI13" s="240"/>
      <c r="AJ13" s="240"/>
      <c r="AK13" s="240"/>
      <c r="AL13" s="240"/>
      <c r="AM13" s="238"/>
      <c r="AN13" s="240"/>
      <c r="AO13" s="240"/>
      <c r="AP13" s="240"/>
      <c r="AQ13" s="238"/>
      <c r="AR13" s="240"/>
      <c r="AS13" s="240"/>
      <c r="AT13" s="240"/>
      <c r="AU13" s="240"/>
      <c r="AV13" s="240"/>
      <c r="AW13" s="240"/>
      <c r="AX13" s="240"/>
      <c r="AY13" s="240"/>
      <c r="AZ13" s="238"/>
      <c r="BA13" s="240"/>
      <c r="BB13" s="240"/>
      <c r="BC13" s="240"/>
      <c r="BD13" s="240"/>
      <c r="BE13" s="240"/>
      <c r="BF13" s="240"/>
      <c r="BG13" s="240"/>
      <c r="BH13" s="240"/>
      <c r="BI13" s="240"/>
      <c r="BJ13" s="240"/>
      <c r="BK13" s="240"/>
      <c r="BL13" s="240"/>
      <c r="BM13" s="240"/>
      <c r="BN13" s="240"/>
      <c r="BO13" s="240"/>
      <c r="BP13" s="238"/>
      <c r="BQ13" s="240"/>
      <c r="BR13" s="240"/>
      <c r="BS13" s="240"/>
      <c r="BT13" s="240"/>
      <c r="BU13" s="240"/>
      <c r="BV13" s="240"/>
      <c r="BW13" s="240"/>
      <c r="BX13" s="240"/>
      <c r="BY13" s="240"/>
      <c r="BZ13" s="240"/>
      <c r="CA13" s="240"/>
      <c r="CB13" s="240"/>
      <c r="CC13" s="240"/>
      <c r="CD13" s="240"/>
      <c r="CE13" s="240"/>
      <c r="CF13" s="238"/>
      <c r="CG13" s="240"/>
      <c r="CH13" s="240"/>
      <c r="CI13" s="240"/>
      <c r="CJ13" s="240"/>
      <c r="CK13" s="240"/>
      <c r="CL13" s="240"/>
      <c r="CM13" s="240"/>
      <c r="CN13" s="240"/>
      <c r="CO13" s="240"/>
      <c r="CP13" s="240"/>
      <c r="CQ13" s="240"/>
      <c r="CR13" s="240"/>
      <c r="CS13" s="238"/>
      <c r="CT13" s="240"/>
      <c r="CU13" s="240"/>
      <c r="CV13" s="240"/>
      <c r="CW13" s="240"/>
      <c r="CX13" s="240"/>
      <c r="CY13" s="240"/>
      <c r="CZ13" s="240"/>
      <c r="DA13" s="240"/>
      <c r="DB13" s="240"/>
      <c r="DC13" s="240"/>
      <c r="DD13" s="240"/>
      <c r="DE13" s="240"/>
      <c r="DF13" s="238"/>
      <c r="DG13" s="240"/>
      <c r="DH13" s="240"/>
      <c r="DI13" s="240"/>
      <c r="DJ13" s="240"/>
      <c r="DK13" s="240"/>
      <c r="DL13" s="240"/>
      <c r="DM13" s="240"/>
      <c r="DN13" s="240"/>
      <c r="DO13" s="240"/>
      <c r="DP13" s="240"/>
      <c r="DQ13" s="240"/>
      <c r="DR13" s="238"/>
      <c r="DS13" s="240"/>
      <c r="DT13" s="240"/>
      <c r="DU13" s="240"/>
      <c r="DV13" s="238"/>
      <c r="DW13" s="240"/>
      <c r="DX13" s="240"/>
      <c r="DY13" s="240"/>
      <c r="DZ13" s="240"/>
      <c r="EA13" s="240"/>
      <c r="EB13" s="240"/>
      <c r="EC13" s="240"/>
      <c r="ED13" s="240"/>
      <c r="EE13" s="240"/>
      <c r="EF13" s="238"/>
      <c r="EG13" s="240"/>
      <c r="EH13" s="240"/>
      <c r="EI13" s="240"/>
      <c r="EJ13" s="238"/>
      <c r="EK13" s="240"/>
      <c r="EL13" s="238"/>
      <c r="EM13" s="240"/>
      <c r="EN13" s="240"/>
      <c r="EO13" s="240"/>
      <c r="EP13" s="240"/>
      <c r="EQ13" s="240"/>
      <c r="ER13" s="240"/>
      <c r="ES13" s="240"/>
      <c r="ET13" s="240"/>
      <c r="EU13" s="240"/>
      <c r="EV13" s="240"/>
      <c r="EW13" s="240"/>
      <c r="EX13" s="238"/>
      <c r="EY13" s="240"/>
      <c r="EZ13" s="240"/>
      <c r="FA13" s="240"/>
      <c r="FB13" s="240"/>
      <c r="FC13" s="240"/>
      <c r="FD13" s="240"/>
      <c r="FE13" s="240"/>
      <c r="FF13" s="240"/>
      <c r="FG13" s="240"/>
      <c r="FH13" s="240"/>
      <c r="FI13" s="240"/>
      <c r="FJ13" s="240"/>
      <c r="FK13" s="240"/>
      <c r="FL13" s="240"/>
      <c r="FM13" s="240"/>
      <c r="FN13" s="240"/>
      <c r="FO13" s="238"/>
      <c r="FP13" s="240"/>
      <c r="FQ13" s="240"/>
      <c r="FR13" s="240"/>
      <c r="FS13" s="240"/>
      <c r="FT13" s="240"/>
      <c r="FU13" s="240"/>
      <c r="FV13" s="240"/>
      <c r="FW13" s="240"/>
      <c r="FX13" s="240"/>
      <c r="FY13" s="240"/>
      <c r="FZ13" s="238"/>
      <c r="GA13" s="240"/>
      <c r="GB13" s="240"/>
      <c r="GC13" s="238"/>
      <c r="GD13" s="240"/>
      <c r="GE13" s="240"/>
      <c r="GF13" s="240"/>
      <c r="GG13" s="240"/>
      <c r="GH13" s="238"/>
      <c r="GI13" s="240"/>
      <c r="GJ13" s="240"/>
      <c r="GK13" s="240"/>
      <c r="GL13" s="240"/>
      <c r="GM13" s="238"/>
      <c r="GN13" s="240"/>
      <c r="GO13" s="240"/>
      <c r="GP13" s="240"/>
      <c r="GQ13" s="240"/>
      <c r="GR13" s="240"/>
      <c r="GS13" s="240"/>
      <c r="GT13" s="240"/>
      <c r="GU13" s="240"/>
      <c r="GV13" s="240"/>
      <c r="GW13" s="240"/>
      <c r="GX13" s="240"/>
      <c r="GY13" s="240"/>
      <c r="GZ13" s="240"/>
      <c r="HA13" s="240"/>
      <c r="HB13" s="240"/>
      <c r="HC13" s="240"/>
      <c r="HD13" s="238"/>
      <c r="HE13" s="240"/>
      <c r="HF13" s="240"/>
      <c r="HG13" s="240"/>
      <c r="HH13" s="240"/>
      <c r="HI13" s="240"/>
      <c r="HJ13" s="238"/>
      <c r="HK13" s="240"/>
      <c r="HL13" s="238"/>
      <c r="HM13" s="241"/>
      <c r="HN13" s="235"/>
      <c r="HO13" s="235"/>
      <c r="HP13" s="235"/>
      <c r="HQ13" s="235"/>
    </row>
    <row r="14" spans="2:225" hidden="1" outlineLevel="1">
      <c r="B14" s="226"/>
      <c r="C14" s="227" t="s">
        <v>116</v>
      </c>
      <c r="D14" s="236" t="s">
        <v>3129</v>
      </c>
      <c r="E14" s="237"/>
      <c r="F14" s="237"/>
      <c r="G14" s="230"/>
      <c r="H14" s="238"/>
      <c r="I14" s="239"/>
      <c r="J14" s="240"/>
      <c r="K14" s="240"/>
      <c r="L14" s="240"/>
      <c r="M14" s="240"/>
      <c r="N14" s="240"/>
      <c r="O14" s="240"/>
      <c r="P14" s="240"/>
      <c r="Q14" s="240"/>
      <c r="R14" s="240"/>
      <c r="S14" s="240"/>
      <c r="T14" s="240"/>
      <c r="U14" s="240"/>
      <c r="V14" s="240"/>
      <c r="W14" s="240"/>
      <c r="X14" s="238"/>
      <c r="Y14" s="240"/>
      <c r="Z14" s="240"/>
      <c r="AA14" s="240"/>
      <c r="AB14" s="240"/>
      <c r="AC14" s="240"/>
      <c r="AD14" s="240"/>
      <c r="AE14" s="240"/>
      <c r="AF14" s="240"/>
      <c r="AG14" s="240"/>
      <c r="AH14" s="238"/>
      <c r="AI14" s="240"/>
      <c r="AJ14" s="240"/>
      <c r="AK14" s="240"/>
      <c r="AL14" s="240"/>
      <c r="AM14" s="238"/>
      <c r="AN14" s="240"/>
      <c r="AO14" s="240"/>
      <c r="AP14" s="240"/>
      <c r="AQ14" s="238"/>
      <c r="AR14" s="240"/>
      <c r="AS14" s="240"/>
      <c r="AT14" s="240"/>
      <c r="AU14" s="240"/>
      <c r="AV14" s="240"/>
      <c r="AW14" s="240"/>
      <c r="AX14" s="240"/>
      <c r="AY14" s="240"/>
      <c r="AZ14" s="238"/>
      <c r="BA14" s="240"/>
      <c r="BB14" s="240"/>
      <c r="BC14" s="240"/>
      <c r="BD14" s="240"/>
      <c r="BE14" s="240"/>
      <c r="BF14" s="240"/>
      <c r="BG14" s="240"/>
      <c r="BH14" s="240"/>
      <c r="BI14" s="240"/>
      <c r="BJ14" s="240"/>
      <c r="BK14" s="240"/>
      <c r="BL14" s="240"/>
      <c r="BM14" s="240"/>
      <c r="BN14" s="240"/>
      <c r="BO14" s="240"/>
      <c r="BP14" s="238"/>
      <c r="BQ14" s="240"/>
      <c r="BR14" s="240"/>
      <c r="BS14" s="240"/>
      <c r="BT14" s="240"/>
      <c r="BU14" s="240"/>
      <c r="BV14" s="240"/>
      <c r="BW14" s="240"/>
      <c r="BX14" s="240"/>
      <c r="BY14" s="240"/>
      <c r="BZ14" s="240"/>
      <c r="CA14" s="240"/>
      <c r="CB14" s="240"/>
      <c r="CC14" s="240"/>
      <c r="CD14" s="240"/>
      <c r="CE14" s="240"/>
      <c r="CF14" s="238"/>
      <c r="CG14" s="240"/>
      <c r="CH14" s="240"/>
      <c r="CI14" s="240"/>
      <c r="CJ14" s="240"/>
      <c r="CK14" s="240"/>
      <c r="CL14" s="240"/>
      <c r="CM14" s="240"/>
      <c r="CN14" s="240"/>
      <c r="CO14" s="240"/>
      <c r="CP14" s="240"/>
      <c r="CQ14" s="240"/>
      <c r="CR14" s="240"/>
      <c r="CS14" s="238"/>
      <c r="CT14" s="240"/>
      <c r="CU14" s="240"/>
      <c r="CV14" s="240"/>
      <c r="CW14" s="240"/>
      <c r="CX14" s="240"/>
      <c r="CY14" s="240"/>
      <c r="CZ14" s="240"/>
      <c r="DA14" s="240"/>
      <c r="DB14" s="240"/>
      <c r="DC14" s="240"/>
      <c r="DD14" s="240"/>
      <c r="DE14" s="240"/>
      <c r="DF14" s="238"/>
      <c r="DG14" s="240"/>
      <c r="DH14" s="240"/>
      <c r="DI14" s="240"/>
      <c r="DJ14" s="240"/>
      <c r="DK14" s="240"/>
      <c r="DL14" s="240"/>
      <c r="DM14" s="240"/>
      <c r="DN14" s="240"/>
      <c r="DO14" s="240"/>
      <c r="DP14" s="240"/>
      <c r="DQ14" s="240"/>
      <c r="DR14" s="238"/>
      <c r="DS14" s="240"/>
      <c r="DT14" s="240"/>
      <c r="DU14" s="240"/>
      <c r="DV14" s="238"/>
      <c r="DW14" s="240"/>
      <c r="DX14" s="240"/>
      <c r="DY14" s="240"/>
      <c r="DZ14" s="240"/>
      <c r="EA14" s="240"/>
      <c r="EB14" s="240"/>
      <c r="EC14" s="240"/>
      <c r="ED14" s="240"/>
      <c r="EE14" s="240"/>
      <c r="EF14" s="238"/>
      <c r="EG14" s="240"/>
      <c r="EH14" s="240"/>
      <c r="EI14" s="240"/>
      <c r="EJ14" s="238"/>
      <c r="EK14" s="240"/>
      <c r="EL14" s="238"/>
      <c r="EM14" s="240"/>
      <c r="EN14" s="240"/>
      <c r="EO14" s="240"/>
      <c r="EP14" s="240"/>
      <c r="EQ14" s="240"/>
      <c r="ER14" s="240"/>
      <c r="ES14" s="240"/>
      <c r="ET14" s="240"/>
      <c r="EU14" s="240"/>
      <c r="EV14" s="240"/>
      <c r="EW14" s="240"/>
      <c r="EX14" s="238"/>
      <c r="EY14" s="240"/>
      <c r="EZ14" s="240"/>
      <c r="FA14" s="240"/>
      <c r="FB14" s="240"/>
      <c r="FC14" s="240"/>
      <c r="FD14" s="240"/>
      <c r="FE14" s="240"/>
      <c r="FF14" s="240"/>
      <c r="FG14" s="240"/>
      <c r="FH14" s="240"/>
      <c r="FI14" s="240"/>
      <c r="FJ14" s="240"/>
      <c r="FK14" s="240"/>
      <c r="FL14" s="240"/>
      <c r="FM14" s="240"/>
      <c r="FN14" s="240"/>
      <c r="FO14" s="238"/>
      <c r="FP14" s="240"/>
      <c r="FQ14" s="240"/>
      <c r="FR14" s="240"/>
      <c r="FS14" s="240"/>
      <c r="FT14" s="240"/>
      <c r="FU14" s="240"/>
      <c r="FV14" s="240"/>
      <c r="FW14" s="240"/>
      <c r="FX14" s="240"/>
      <c r="FY14" s="240"/>
      <c r="FZ14" s="238"/>
      <c r="GA14" s="240"/>
      <c r="GB14" s="240"/>
      <c r="GC14" s="238"/>
      <c r="GD14" s="240"/>
      <c r="GE14" s="240"/>
      <c r="GF14" s="240"/>
      <c r="GG14" s="240"/>
      <c r="GH14" s="238"/>
      <c r="GI14" s="240"/>
      <c r="GJ14" s="240"/>
      <c r="GK14" s="240"/>
      <c r="GL14" s="240"/>
      <c r="GM14" s="238"/>
      <c r="GN14" s="240"/>
      <c r="GO14" s="240"/>
      <c r="GP14" s="240"/>
      <c r="GQ14" s="240"/>
      <c r="GR14" s="240"/>
      <c r="GS14" s="240"/>
      <c r="GT14" s="240"/>
      <c r="GU14" s="240"/>
      <c r="GV14" s="240"/>
      <c r="GW14" s="240"/>
      <c r="GX14" s="240"/>
      <c r="GY14" s="240"/>
      <c r="GZ14" s="240"/>
      <c r="HA14" s="240"/>
      <c r="HB14" s="240"/>
      <c r="HC14" s="240"/>
      <c r="HD14" s="238"/>
      <c r="HE14" s="240"/>
      <c r="HF14" s="240"/>
      <c r="HG14" s="240"/>
      <c r="HH14" s="240"/>
      <c r="HI14" s="240"/>
      <c r="HJ14" s="238"/>
      <c r="HK14" s="240"/>
      <c r="HL14" s="238"/>
      <c r="HM14" s="241"/>
      <c r="HN14" s="235"/>
      <c r="HO14" s="235"/>
      <c r="HP14" s="235"/>
      <c r="HQ14" s="235"/>
    </row>
    <row r="15" spans="2:225" hidden="1" outlineLevel="1">
      <c r="B15" s="226"/>
      <c r="C15" s="227" t="s">
        <v>116</v>
      </c>
      <c r="D15" s="236" t="s">
        <v>3130</v>
      </c>
      <c r="E15" s="237"/>
      <c r="F15" s="237" t="s">
        <v>539</v>
      </c>
      <c r="G15" s="230"/>
      <c r="H15" s="238"/>
      <c r="I15" s="239"/>
      <c r="J15" s="240"/>
      <c r="K15" s="240"/>
      <c r="L15" s="240"/>
      <c r="M15" s="240"/>
      <c r="N15" s="240"/>
      <c r="O15" s="240"/>
      <c r="P15" s="240"/>
      <c r="Q15" s="240"/>
      <c r="R15" s="240"/>
      <c r="S15" s="240" t="s">
        <v>890</v>
      </c>
      <c r="T15" s="240" t="s">
        <v>890</v>
      </c>
      <c r="U15" s="240"/>
      <c r="V15" s="240"/>
      <c r="W15" s="240"/>
      <c r="X15" s="238"/>
      <c r="Y15" s="240"/>
      <c r="Z15" s="240"/>
      <c r="AA15" s="240"/>
      <c r="AB15" s="240"/>
      <c r="AC15" s="240"/>
      <c r="AD15" s="240"/>
      <c r="AE15" s="240"/>
      <c r="AF15" s="240"/>
      <c r="AG15" s="240"/>
      <c r="AH15" s="238"/>
      <c r="AI15" s="240"/>
      <c r="AJ15" s="240"/>
      <c r="AK15" s="240"/>
      <c r="AL15" s="240"/>
      <c r="AM15" s="238"/>
      <c r="AN15" s="240"/>
      <c r="AO15" s="240"/>
      <c r="AP15" s="240"/>
      <c r="AQ15" s="238"/>
      <c r="AR15" s="240"/>
      <c r="AS15" s="240"/>
      <c r="AT15" s="240"/>
      <c r="AU15" s="240"/>
      <c r="AV15" s="240"/>
      <c r="AW15" s="240"/>
      <c r="AX15" s="240"/>
      <c r="AY15" s="240"/>
      <c r="AZ15" s="238"/>
      <c r="BA15" s="240"/>
      <c r="BB15" s="240"/>
      <c r="BC15" s="240"/>
      <c r="BD15" s="240"/>
      <c r="BE15" s="240"/>
      <c r="BF15" s="240"/>
      <c r="BG15" s="240"/>
      <c r="BH15" s="240"/>
      <c r="BI15" s="240"/>
      <c r="BJ15" s="240"/>
      <c r="BK15" s="240"/>
      <c r="BL15" s="240"/>
      <c r="BM15" s="240"/>
      <c r="BN15" s="240"/>
      <c r="BO15" s="240"/>
      <c r="BP15" s="238"/>
      <c r="BQ15" s="240"/>
      <c r="BR15" s="240"/>
      <c r="BS15" s="240"/>
      <c r="BT15" s="240"/>
      <c r="BU15" s="240"/>
      <c r="BV15" s="240"/>
      <c r="BW15" s="240"/>
      <c r="BX15" s="240"/>
      <c r="BY15" s="240"/>
      <c r="BZ15" s="240"/>
      <c r="CA15" s="240"/>
      <c r="CB15" s="240"/>
      <c r="CC15" s="240"/>
      <c r="CD15" s="240"/>
      <c r="CE15" s="240"/>
      <c r="CF15" s="238"/>
      <c r="CG15" s="240"/>
      <c r="CH15" s="240"/>
      <c r="CI15" s="240"/>
      <c r="CJ15" s="240"/>
      <c r="CK15" s="240"/>
      <c r="CL15" s="240"/>
      <c r="CM15" s="240"/>
      <c r="CN15" s="240"/>
      <c r="CO15" s="240"/>
      <c r="CP15" s="240"/>
      <c r="CQ15" s="240"/>
      <c r="CR15" s="240"/>
      <c r="CS15" s="238"/>
      <c r="CT15" s="240"/>
      <c r="CU15" s="240"/>
      <c r="CV15" s="240"/>
      <c r="CW15" s="240"/>
      <c r="CX15" s="240"/>
      <c r="CY15" s="240"/>
      <c r="CZ15" s="240"/>
      <c r="DA15" s="240"/>
      <c r="DB15" s="240"/>
      <c r="DC15" s="240"/>
      <c r="DD15" s="240"/>
      <c r="DE15" s="240"/>
      <c r="DF15" s="238"/>
      <c r="DG15" s="240"/>
      <c r="DH15" s="240"/>
      <c r="DI15" s="240"/>
      <c r="DJ15" s="240"/>
      <c r="DK15" s="240"/>
      <c r="DL15" s="240"/>
      <c r="DM15" s="240"/>
      <c r="DN15" s="240"/>
      <c r="DO15" s="240"/>
      <c r="DP15" s="240"/>
      <c r="DQ15" s="240"/>
      <c r="DR15" s="238"/>
      <c r="DS15" s="240"/>
      <c r="DT15" s="240"/>
      <c r="DU15" s="240"/>
      <c r="DV15" s="238"/>
      <c r="DW15" s="240"/>
      <c r="DX15" s="240"/>
      <c r="DY15" s="240"/>
      <c r="DZ15" s="240"/>
      <c r="EA15" s="240"/>
      <c r="EB15" s="240"/>
      <c r="EC15" s="240"/>
      <c r="ED15" s="240"/>
      <c r="EE15" s="240"/>
      <c r="EF15" s="238"/>
      <c r="EG15" s="240"/>
      <c r="EH15" s="240"/>
      <c r="EI15" s="240"/>
      <c r="EJ15" s="238"/>
      <c r="EK15" s="240"/>
      <c r="EL15" s="238"/>
      <c r="EM15" s="240"/>
      <c r="EN15" s="240"/>
      <c r="EO15" s="240"/>
      <c r="EP15" s="240"/>
      <c r="EQ15" s="240"/>
      <c r="ER15" s="240"/>
      <c r="ES15" s="240"/>
      <c r="ET15" s="240"/>
      <c r="EU15" s="240"/>
      <c r="EV15" s="240"/>
      <c r="EW15" s="240"/>
      <c r="EX15" s="238"/>
      <c r="EY15" s="240"/>
      <c r="EZ15" s="240"/>
      <c r="FA15" s="240"/>
      <c r="FB15" s="240"/>
      <c r="FC15" s="240"/>
      <c r="FD15" s="240"/>
      <c r="FE15" s="240"/>
      <c r="FF15" s="240"/>
      <c r="FG15" s="240"/>
      <c r="FH15" s="240"/>
      <c r="FI15" s="240"/>
      <c r="FJ15" s="240"/>
      <c r="FK15" s="240"/>
      <c r="FL15" s="240"/>
      <c r="FM15" s="240"/>
      <c r="FN15" s="240"/>
      <c r="FO15" s="238"/>
      <c r="FP15" s="240"/>
      <c r="FQ15" s="240"/>
      <c r="FR15" s="240"/>
      <c r="FS15" s="240"/>
      <c r="FT15" s="240"/>
      <c r="FU15" s="240"/>
      <c r="FV15" s="240"/>
      <c r="FW15" s="240"/>
      <c r="FX15" s="240"/>
      <c r="FY15" s="240"/>
      <c r="FZ15" s="238"/>
      <c r="GA15" s="240"/>
      <c r="GB15" s="240"/>
      <c r="GC15" s="238"/>
      <c r="GD15" s="240"/>
      <c r="GE15" s="240"/>
      <c r="GF15" s="240"/>
      <c r="GG15" s="240"/>
      <c r="GH15" s="238"/>
      <c r="GI15" s="240"/>
      <c r="GJ15" s="240"/>
      <c r="GK15" s="240"/>
      <c r="GL15" s="240"/>
      <c r="GM15" s="238"/>
      <c r="GN15" s="240"/>
      <c r="GO15" s="240"/>
      <c r="GP15" s="240"/>
      <c r="GQ15" s="240"/>
      <c r="GR15" s="240"/>
      <c r="GS15" s="240"/>
      <c r="GT15" s="240"/>
      <c r="GU15" s="240"/>
      <c r="GV15" s="240"/>
      <c r="GW15" s="240"/>
      <c r="GX15" s="240"/>
      <c r="GY15" s="240"/>
      <c r="GZ15" s="240"/>
      <c r="HA15" s="240"/>
      <c r="HB15" s="240"/>
      <c r="HC15" s="240"/>
      <c r="HD15" s="238"/>
      <c r="HE15" s="240"/>
      <c r="HF15" s="240"/>
      <c r="HG15" s="240"/>
      <c r="HH15" s="240"/>
      <c r="HI15" s="240"/>
      <c r="HJ15" s="238"/>
      <c r="HK15" s="240"/>
      <c r="HL15" s="238"/>
      <c r="HM15" s="241"/>
      <c r="HN15" s="235"/>
      <c r="HO15" s="235"/>
      <c r="HP15" s="235"/>
      <c r="HQ15" s="235"/>
    </row>
    <row r="16" spans="2:225" hidden="1" outlineLevel="1">
      <c r="B16" s="226"/>
      <c r="C16" s="227" t="s">
        <v>116</v>
      </c>
      <c r="D16" s="236" t="s">
        <v>3131</v>
      </c>
      <c r="E16" s="237"/>
      <c r="F16" s="237"/>
      <c r="G16" s="230"/>
      <c r="H16" s="238"/>
      <c r="I16" s="239"/>
      <c r="J16" s="240"/>
      <c r="K16" s="240"/>
      <c r="L16" s="240"/>
      <c r="M16" s="240"/>
      <c r="N16" s="240"/>
      <c r="O16" s="240"/>
      <c r="P16" s="240"/>
      <c r="Q16" s="240"/>
      <c r="R16" s="240"/>
      <c r="S16" s="240"/>
      <c r="T16" s="240"/>
      <c r="U16" s="240"/>
      <c r="V16" s="240"/>
      <c r="W16" s="240"/>
      <c r="X16" s="238"/>
      <c r="Y16" s="240"/>
      <c r="Z16" s="240"/>
      <c r="AA16" s="240"/>
      <c r="AB16" s="240"/>
      <c r="AC16" s="240"/>
      <c r="AD16" s="240"/>
      <c r="AE16" s="240"/>
      <c r="AF16" s="240"/>
      <c r="AG16" s="240"/>
      <c r="AH16" s="238"/>
      <c r="AI16" s="240"/>
      <c r="AJ16" s="240"/>
      <c r="AK16" s="240"/>
      <c r="AL16" s="240"/>
      <c r="AM16" s="238"/>
      <c r="AN16" s="240"/>
      <c r="AO16" s="240"/>
      <c r="AP16" s="240"/>
      <c r="AQ16" s="238"/>
      <c r="AR16" s="240"/>
      <c r="AS16" s="240"/>
      <c r="AT16" s="240"/>
      <c r="AU16" s="240"/>
      <c r="AV16" s="240"/>
      <c r="AW16" s="240"/>
      <c r="AX16" s="240"/>
      <c r="AY16" s="240"/>
      <c r="AZ16" s="238"/>
      <c r="BA16" s="240"/>
      <c r="BB16" s="240"/>
      <c r="BC16" s="240"/>
      <c r="BD16" s="240"/>
      <c r="BE16" s="240"/>
      <c r="BF16" s="240"/>
      <c r="BG16" s="240"/>
      <c r="BH16" s="240"/>
      <c r="BI16" s="240"/>
      <c r="BJ16" s="240"/>
      <c r="BK16" s="240"/>
      <c r="BL16" s="240"/>
      <c r="BM16" s="240"/>
      <c r="BN16" s="240"/>
      <c r="BO16" s="240"/>
      <c r="BP16" s="238"/>
      <c r="BQ16" s="240"/>
      <c r="BR16" s="240"/>
      <c r="BS16" s="240"/>
      <c r="BT16" s="240"/>
      <c r="BU16" s="240"/>
      <c r="BV16" s="240"/>
      <c r="BW16" s="240"/>
      <c r="BX16" s="240"/>
      <c r="BY16" s="240"/>
      <c r="BZ16" s="240"/>
      <c r="CA16" s="240"/>
      <c r="CB16" s="240"/>
      <c r="CC16" s="240"/>
      <c r="CD16" s="240"/>
      <c r="CE16" s="240"/>
      <c r="CF16" s="238"/>
      <c r="CG16" s="240"/>
      <c r="CH16" s="240"/>
      <c r="CI16" s="240"/>
      <c r="CJ16" s="240"/>
      <c r="CK16" s="240"/>
      <c r="CL16" s="240"/>
      <c r="CM16" s="240"/>
      <c r="CN16" s="240"/>
      <c r="CO16" s="240"/>
      <c r="CP16" s="240"/>
      <c r="CQ16" s="240"/>
      <c r="CR16" s="240"/>
      <c r="CS16" s="238"/>
      <c r="CT16" s="240"/>
      <c r="CU16" s="240"/>
      <c r="CV16" s="240"/>
      <c r="CW16" s="240"/>
      <c r="CX16" s="240"/>
      <c r="CY16" s="240"/>
      <c r="CZ16" s="240"/>
      <c r="DA16" s="240"/>
      <c r="DB16" s="240"/>
      <c r="DC16" s="240"/>
      <c r="DD16" s="240"/>
      <c r="DE16" s="240"/>
      <c r="DF16" s="238"/>
      <c r="DG16" s="240"/>
      <c r="DH16" s="240"/>
      <c r="DI16" s="240"/>
      <c r="DJ16" s="240"/>
      <c r="DK16" s="240"/>
      <c r="DL16" s="240"/>
      <c r="DM16" s="240"/>
      <c r="DN16" s="240"/>
      <c r="DO16" s="240"/>
      <c r="DP16" s="240"/>
      <c r="DQ16" s="240"/>
      <c r="DR16" s="238"/>
      <c r="DS16" s="240"/>
      <c r="DT16" s="240"/>
      <c r="DU16" s="240"/>
      <c r="DV16" s="238"/>
      <c r="DW16" s="240"/>
      <c r="DX16" s="240"/>
      <c r="DY16" s="240"/>
      <c r="DZ16" s="240"/>
      <c r="EA16" s="240"/>
      <c r="EB16" s="240"/>
      <c r="EC16" s="240"/>
      <c r="ED16" s="240"/>
      <c r="EE16" s="240"/>
      <c r="EF16" s="238"/>
      <c r="EG16" s="240"/>
      <c r="EH16" s="240"/>
      <c r="EI16" s="240"/>
      <c r="EJ16" s="238"/>
      <c r="EK16" s="240"/>
      <c r="EL16" s="238"/>
      <c r="EM16" s="240"/>
      <c r="EN16" s="240"/>
      <c r="EO16" s="240"/>
      <c r="EP16" s="240"/>
      <c r="EQ16" s="240"/>
      <c r="ER16" s="240"/>
      <c r="ES16" s="240"/>
      <c r="ET16" s="240"/>
      <c r="EU16" s="240"/>
      <c r="EV16" s="240"/>
      <c r="EW16" s="240"/>
      <c r="EX16" s="238"/>
      <c r="EY16" s="240"/>
      <c r="EZ16" s="240"/>
      <c r="FA16" s="240"/>
      <c r="FB16" s="240"/>
      <c r="FC16" s="240"/>
      <c r="FD16" s="240"/>
      <c r="FE16" s="240"/>
      <c r="FF16" s="240"/>
      <c r="FG16" s="240"/>
      <c r="FH16" s="240"/>
      <c r="FI16" s="240"/>
      <c r="FJ16" s="240"/>
      <c r="FK16" s="240"/>
      <c r="FL16" s="240"/>
      <c r="FM16" s="240"/>
      <c r="FN16" s="240"/>
      <c r="FO16" s="238"/>
      <c r="FP16" s="240"/>
      <c r="FQ16" s="240"/>
      <c r="FR16" s="240"/>
      <c r="FS16" s="240"/>
      <c r="FT16" s="240"/>
      <c r="FU16" s="240"/>
      <c r="FV16" s="240"/>
      <c r="FW16" s="240"/>
      <c r="FX16" s="240"/>
      <c r="FY16" s="240"/>
      <c r="FZ16" s="238"/>
      <c r="GA16" s="240"/>
      <c r="GB16" s="240"/>
      <c r="GC16" s="238"/>
      <c r="GD16" s="240"/>
      <c r="GE16" s="240"/>
      <c r="GF16" s="240"/>
      <c r="GG16" s="240"/>
      <c r="GH16" s="238"/>
      <c r="GI16" s="240"/>
      <c r="GJ16" s="240"/>
      <c r="GK16" s="240"/>
      <c r="GL16" s="240"/>
      <c r="GM16" s="238"/>
      <c r="GN16" s="240"/>
      <c r="GO16" s="240"/>
      <c r="GP16" s="240"/>
      <c r="GQ16" s="240"/>
      <c r="GR16" s="240"/>
      <c r="GS16" s="240"/>
      <c r="GT16" s="240"/>
      <c r="GU16" s="240"/>
      <c r="GV16" s="240"/>
      <c r="GW16" s="240"/>
      <c r="GX16" s="240"/>
      <c r="GY16" s="240"/>
      <c r="GZ16" s="240"/>
      <c r="HA16" s="240"/>
      <c r="HB16" s="240"/>
      <c r="HC16" s="240"/>
      <c r="HD16" s="238"/>
      <c r="HE16" s="240"/>
      <c r="HF16" s="240"/>
      <c r="HG16" s="240"/>
      <c r="HH16" s="240"/>
      <c r="HI16" s="240"/>
      <c r="HJ16" s="238"/>
      <c r="HK16" s="240"/>
      <c r="HL16" s="238"/>
      <c r="HM16" s="241"/>
      <c r="HN16" s="235"/>
      <c r="HO16" s="235"/>
      <c r="HP16" s="235"/>
      <c r="HQ16" s="235"/>
    </row>
    <row r="17" spans="2:225" ht="37.5" hidden="1" outlineLevel="1">
      <c r="B17" s="226"/>
      <c r="C17" s="227" t="s">
        <v>116</v>
      </c>
      <c r="D17" s="236" t="s">
        <v>3132</v>
      </c>
      <c r="E17" s="237"/>
      <c r="F17" s="237"/>
      <c r="G17" s="230"/>
      <c r="H17" s="238"/>
      <c r="I17" s="239"/>
      <c r="J17" s="240"/>
      <c r="K17" s="240"/>
      <c r="L17" s="240"/>
      <c r="M17" s="240"/>
      <c r="N17" s="240"/>
      <c r="O17" s="240"/>
      <c r="P17" s="240"/>
      <c r="Q17" s="240"/>
      <c r="R17" s="240"/>
      <c r="S17" s="240"/>
      <c r="T17" s="240"/>
      <c r="U17" s="240"/>
      <c r="V17" s="240"/>
      <c r="W17" s="240"/>
      <c r="X17" s="238"/>
      <c r="Y17" s="240"/>
      <c r="Z17" s="240"/>
      <c r="AA17" s="240"/>
      <c r="AB17" s="240"/>
      <c r="AC17" s="240"/>
      <c r="AD17" s="240"/>
      <c r="AE17" s="240"/>
      <c r="AF17" s="240"/>
      <c r="AG17" s="240"/>
      <c r="AH17" s="238"/>
      <c r="AI17" s="240"/>
      <c r="AJ17" s="240"/>
      <c r="AK17" s="240"/>
      <c r="AL17" s="240"/>
      <c r="AM17" s="238"/>
      <c r="AN17" s="240"/>
      <c r="AO17" s="240"/>
      <c r="AP17" s="240"/>
      <c r="AQ17" s="238"/>
      <c r="AR17" s="240"/>
      <c r="AS17" s="240"/>
      <c r="AT17" s="240"/>
      <c r="AU17" s="240"/>
      <c r="AV17" s="240"/>
      <c r="AW17" s="240"/>
      <c r="AX17" s="240"/>
      <c r="AY17" s="240"/>
      <c r="AZ17" s="238"/>
      <c r="BA17" s="240"/>
      <c r="BB17" s="240"/>
      <c r="BC17" s="240"/>
      <c r="BD17" s="240"/>
      <c r="BE17" s="240"/>
      <c r="BF17" s="240"/>
      <c r="BG17" s="240"/>
      <c r="BH17" s="240"/>
      <c r="BI17" s="240"/>
      <c r="BJ17" s="240"/>
      <c r="BK17" s="240"/>
      <c r="BL17" s="240"/>
      <c r="BM17" s="240"/>
      <c r="BN17" s="240"/>
      <c r="BO17" s="240"/>
      <c r="BP17" s="238"/>
      <c r="BQ17" s="240"/>
      <c r="BR17" s="240"/>
      <c r="BS17" s="240"/>
      <c r="BT17" s="240"/>
      <c r="BU17" s="240"/>
      <c r="BV17" s="240"/>
      <c r="BW17" s="240"/>
      <c r="BX17" s="240"/>
      <c r="BY17" s="240"/>
      <c r="BZ17" s="240"/>
      <c r="CA17" s="240"/>
      <c r="CB17" s="240"/>
      <c r="CC17" s="240"/>
      <c r="CD17" s="240"/>
      <c r="CE17" s="240"/>
      <c r="CF17" s="238"/>
      <c r="CG17" s="240"/>
      <c r="CH17" s="240"/>
      <c r="CI17" s="240"/>
      <c r="CJ17" s="240"/>
      <c r="CK17" s="240"/>
      <c r="CL17" s="240"/>
      <c r="CM17" s="240"/>
      <c r="CN17" s="240"/>
      <c r="CO17" s="240"/>
      <c r="CP17" s="240"/>
      <c r="CQ17" s="240"/>
      <c r="CR17" s="240"/>
      <c r="CS17" s="238"/>
      <c r="CT17" s="240"/>
      <c r="CU17" s="240"/>
      <c r="CV17" s="240"/>
      <c r="CW17" s="240"/>
      <c r="CX17" s="240"/>
      <c r="CY17" s="240"/>
      <c r="CZ17" s="240"/>
      <c r="DA17" s="240"/>
      <c r="DB17" s="240"/>
      <c r="DC17" s="240"/>
      <c r="DD17" s="240"/>
      <c r="DE17" s="240"/>
      <c r="DF17" s="238"/>
      <c r="DG17" s="240"/>
      <c r="DH17" s="240"/>
      <c r="DI17" s="240"/>
      <c r="DJ17" s="240"/>
      <c r="DK17" s="240"/>
      <c r="DL17" s="240"/>
      <c r="DM17" s="240"/>
      <c r="DN17" s="240"/>
      <c r="DO17" s="240"/>
      <c r="DP17" s="240"/>
      <c r="DQ17" s="240"/>
      <c r="DR17" s="238"/>
      <c r="DS17" s="240"/>
      <c r="DT17" s="240"/>
      <c r="DU17" s="240"/>
      <c r="DV17" s="238"/>
      <c r="DW17" s="240"/>
      <c r="DX17" s="240"/>
      <c r="DY17" s="240"/>
      <c r="DZ17" s="240"/>
      <c r="EA17" s="240"/>
      <c r="EB17" s="240"/>
      <c r="EC17" s="240"/>
      <c r="ED17" s="240"/>
      <c r="EE17" s="240"/>
      <c r="EF17" s="238"/>
      <c r="EG17" s="240"/>
      <c r="EH17" s="240"/>
      <c r="EI17" s="240"/>
      <c r="EJ17" s="238"/>
      <c r="EK17" s="240"/>
      <c r="EL17" s="238"/>
      <c r="EM17" s="240"/>
      <c r="EN17" s="240"/>
      <c r="EO17" s="240"/>
      <c r="EP17" s="240"/>
      <c r="EQ17" s="240"/>
      <c r="ER17" s="240"/>
      <c r="ES17" s="240"/>
      <c r="ET17" s="240"/>
      <c r="EU17" s="240"/>
      <c r="EV17" s="240"/>
      <c r="EW17" s="240"/>
      <c r="EX17" s="238"/>
      <c r="EY17" s="240"/>
      <c r="EZ17" s="240"/>
      <c r="FA17" s="240"/>
      <c r="FB17" s="240"/>
      <c r="FC17" s="240"/>
      <c r="FD17" s="240"/>
      <c r="FE17" s="240"/>
      <c r="FF17" s="240"/>
      <c r="FG17" s="240"/>
      <c r="FH17" s="240"/>
      <c r="FI17" s="240"/>
      <c r="FJ17" s="240"/>
      <c r="FK17" s="240"/>
      <c r="FL17" s="240"/>
      <c r="FM17" s="240"/>
      <c r="FN17" s="240"/>
      <c r="FO17" s="238"/>
      <c r="FP17" s="240"/>
      <c r="FQ17" s="240"/>
      <c r="FR17" s="240"/>
      <c r="FS17" s="240"/>
      <c r="FT17" s="240"/>
      <c r="FU17" s="240"/>
      <c r="FV17" s="240"/>
      <c r="FW17" s="240"/>
      <c r="FX17" s="240"/>
      <c r="FY17" s="240"/>
      <c r="FZ17" s="238"/>
      <c r="GA17" s="240"/>
      <c r="GB17" s="240"/>
      <c r="GC17" s="238"/>
      <c r="GD17" s="240"/>
      <c r="GE17" s="240"/>
      <c r="GF17" s="240"/>
      <c r="GG17" s="240"/>
      <c r="GH17" s="238"/>
      <c r="GI17" s="240"/>
      <c r="GJ17" s="240"/>
      <c r="GK17" s="240"/>
      <c r="GL17" s="240"/>
      <c r="GM17" s="238"/>
      <c r="GN17" s="240"/>
      <c r="GO17" s="240"/>
      <c r="GP17" s="240"/>
      <c r="GQ17" s="240"/>
      <c r="GR17" s="240"/>
      <c r="GS17" s="240"/>
      <c r="GT17" s="240"/>
      <c r="GU17" s="240"/>
      <c r="GV17" s="240"/>
      <c r="GW17" s="240"/>
      <c r="GX17" s="240"/>
      <c r="GY17" s="240"/>
      <c r="GZ17" s="240"/>
      <c r="HA17" s="240"/>
      <c r="HB17" s="240"/>
      <c r="HC17" s="240"/>
      <c r="HD17" s="238"/>
      <c r="HE17" s="240"/>
      <c r="HF17" s="240"/>
      <c r="HG17" s="240"/>
      <c r="HH17" s="240"/>
      <c r="HI17" s="240"/>
      <c r="HJ17" s="238"/>
      <c r="HK17" s="240"/>
      <c r="HL17" s="238"/>
      <c r="HM17" s="241"/>
      <c r="HN17" s="235"/>
      <c r="HO17" s="235"/>
      <c r="HP17" s="235"/>
      <c r="HQ17" s="235"/>
    </row>
    <row r="18" spans="2:225" hidden="1" outlineLevel="1">
      <c r="B18" s="226"/>
      <c r="C18" s="227" t="s">
        <v>116</v>
      </c>
      <c r="D18" s="236" t="s">
        <v>3133</v>
      </c>
      <c r="E18" s="237"/>
      <c r="F18" s="237"/>
      <c r="G18" s="230"/>
      <c r="H18" s="242"/>
      <c r="I18" s="239"/>
      <c r="J18" s="240"/>
      <c r="K18" s="240"/>
      <c r="L18" s="240"/>
      <c r="M18" s="240"/>
      <c r="N18" s="240"/>
      <c r="O18" s="240"/>
      <c r="P18" s="240"/>
      <c r="Q18" s="240"/>
      <c r="R18" s="240"/>
      <c r="S18" s="240"/>
      <c r="T18" s="240"/>
      <c r="U18" s="240"/>
      <c r="V18" s="240"/>
      <c r="W18" s="240"/>
      <c r="X18" s="242"/>
      <c r="Y18" s="240"/>
      <c r="Z18" s="240"/>
      <c r="AA18" s="240"/>
      <c r="AB18" s="240"/>
      <c r="AC18" s="240"/>
      <c r="AD18" s="240"/>
      <c r="AE18" s="240"/>
      <c r="AF18" s="240"/>
      <c r="AG18" s="240"/>
      <c r="AH18" s="242"/>
      <c r="AI18" s="240"/>
      <c r="AJ18" s="240"/>
      <c r="AK18" s="240"/>
      <c r="AL18" s="240"/>
      <c r="AM18" s="242"/>
      <c r="AN18" s="240"/>
      <c r="AO18" s="240"/>
      <c r="AP18" s="240"/>
      <c r="AQ18" s="242"/>
      <c r="AR18" s="240"/>
      <c r="AS18" s="240"/>
      <c r="AT18" s="240"/>
      <c r="AU18" s="240"/>
      <c r="AV18" s="240"/>
      <c r="AW18" s="240"/>
      <c r="AX18" s="240"/>
      <c r="AY18" s="240"/>
      <c r="AZ18" s="242"/>
      <c r="BA18" s="240"/>
      <c r="BB18" s="240"/>
      <c r="BC18" s="240"/>
      <c r="BD18" s="240"/>
      <c r="BE18" s="240"/>
      <c r="BF18" s="240"/>
      <c r="BG18" s="240"/>
      <c r="BH18" s="240"/>
      <c r="BI18" s="240"/>
      <c r="BJ18" s="240"/>
      <c r="BK18" s="240"/>
      <c r="BL18" s="240"/>
      <c r="BM18" s="240"/>
      <c r="BN18" s="240"/>
      <c r="BO18" s="240"/>
      <c r="BP18" s="242"/>
      <c r="BQ18" s="240"/>
      <c r="BR18" s="240"/>
      <c r="BS18" s="240"/>
      <c r="BT18" s="240"/>
      <c r="BU18" s="240"/>
      <c r="BV18" s="240"/>
      <c r="BW18" s="240"/>
      <c r="BX18" s="240"/>
      <c r="BY18" s="240"/>
      <c r="BZ18" s="240"/>
      <c r="CA18" s="240"/>
      <c r="CB18" s="240"/>
      <c r="CC18" s="240"/>
      <c r="CD18" s="240"/>
      <c r="CE18" s="240"/>
      <c r="CF18" s="242"/>
      <c r="CG18" s="240"/>
      <c r="CH18" s="240"/>
      <c r="CI18" s="240"/>
      <c r="CJ18" s="240"/>
      <c r="CK18" s="240"/>
      <c r="CL18" s="240"/>
      <c r="CM18" s="240"/>
      <c r="CN18" s="240"/>
      <c r="CO18" s="240"/>
      <c r="CP18" s="240"/>
      <c r="CQ18" s="240"/>
      <c r="CR18" s="240"/>
      <c r="CS18" s="242"/>
      <c r="CT18" s="240"/>
      <c r="CU18" s="240"/>
      <c r="CV18" s="240"/>
      <c r="CW18" s="240"/>
      <c r="CX18" s="240"/>
      <c r="CY18" s="240"/>
      <c r="CZ18" s="240"/>
      <c r="DA18" s="240"/>
      <c r="DB18" s="240"/>
      <c r="DC18" s="240"/>
      <c r="DD18" s="240"/>
      <c r="DE18" s="240"/>
      <c r="DF18" s="242"/>
      <c r="DG18" s="240"/>
      <c r="DH18" s="240"/>
      <c r="DI18" s="240"/>
      <c r="DJ18" s="240"/>
      <c r="DK18" s="240"/>
      <c r="DL18" s="240"/>
      <c r="DM18" s="240"/>
      <c r="DN18" s="240"/>
      <c r="DO18" s="240"/>
      <c r="DP18" s="240"/>
      <c r="DQ18" s="240"/>
      <c r="DR18" s="242"/>
      <c r="DS18" s="240"/>
      <c r="DT18" s="240"/>
      <c r="DU18" s="240"/>
      <c r="DV18" s="242"/>
      <c r="DW18" s="240"/>
      <c r="DX18" s="240"/>
      <c r="DY18" s="240"/>
      <c r="DZ18" s="240"/>
      <c r="EA18" s="240"/>
      <c r="EB18" s="240"/>
      <c r="EC18" s="240"/>
      <c r="ED18" s="240"/>
      <c r="EE18" s="240"/>
      <c r="EF18" s="242"/>
      <c r="EG18" s="240"/>
      <c r="EH18" s="240"/>
      <c r="EI18" s="240"/>
      <c r="EJ18" s="242"/>
      <c r="EK18" s="240"/>
      <c r="EL18" s="242"/>
      <c r="EM18" s="240"/>
      <c r="EN18" s="240"/>
      <c r="EO18" s="240"/>
      <c r="EP18" s="240"/>
      <c r="EQ18" s="240"/>
      <c r="ER18" s="240"/>
      <c r="ES18" s="240"/>
      <c r="ET18" s="240"/>
      <c r="EU18" s="240"/>
      <c r="EV18" s="240"/>
      <c r="EW18" s="240"/>
      <c r="EX18" s="242"/>
      <c r="EY18" s="240"/>
      <c r="EZ18" s="240"/>
      <c r="FA18" s="240"/>
      <c r="FB18" s="240"/>
      <c r="FC18" s="240"/>
      <c r="FD18" s="240"/>
      <c r="FE18" s="240"/>
      <c r="FF18" s="240"/>
      <c r="FG18" s="240"/>
      <c r="FH18" s="240"/>
      <c r="FI18" s="240"/>
      <c r="FJ18" s="240"/>
      <c r="FK18" s="240"/>
      <c r="FL18" s="240"/>
      <c r="FM18" s="240"/>
      <c r="FN18" s="240"/>
      <c r="FO18" s="242"/>
      <c r="FP18" s="240"/>
      <c r="FQ18" s="240"/>
      <c r="FR18" s="240"/>
      <c r="FS18" s="240"/>
      <c r="FT18" s="240"/>
      <c r="FU18" s="240"/>
      <c r="FV18" s="240"/>
      <c r="FW18" s="240"/>
      <c r="FX18" s="240"/>
      <c r="FY18" s="240"/>
      <c r="FZ18" s="242"/>
      <c r="GA18" s="240"/>
      <c r="GB18" s="240"/>
      <c r="GC18" s="242"/>
      <c r="GD18" s="240"/>
      <c r="GE18" s="240"/>
      <c r="GF18" s="240"/>
      <c r="GG18" s="240"/>
      <c r="GH18" s="242"/>
      <c r="GI18" s="240"/>
      <c r="GJ18" s="240"/>
      <c r="GK18" s="240"/>
      <c r="GL18" s="240"/>
      <c r="GM18" s="242"/>
      <c r="GN18" s="240"/>
      <c r="GO18" s="240"/>
      <c r="GP18" s="240"/>
      <c r="GQ18" s="240"/>
      <c r="GR18" s="240"/>
      <c r="GS18" s="240"/>
      <c r="GT18" s="240"/>
      <c r="GU18" s="240"/>
      <c r="GV18" s="240"/>
      <c r="GW18" s="240"/>
      <c r="GX18" s="240"/>
      <c r="GY18" s="240"/>
      <c r="GZ18" s="240"/>
      <c r="HA18" s="240"/>
      <c r="HB18" s="240"/>
      <c r="HC18" s="240"/>
      <c r="HD18" s="242"/>
      <c r="HE18" s="240"/>
      <c r="HF18" s="240"/>
      <c r="HG18" s="240"/>
      <c r="HH18" s="240"/>
      <c r="HI18" s="240"/>
      <c r="HJ18" s="242"/>
      <c r="HK18" s="240"/>
      <c r="HL18" s="242"/>
      <c r="HM18" s="241"/>
      <c r="HN18" s="235"/>
      <c r="HO18" s="235"/>
      <c r="HP18" s="235"/>
      <c r="HQ18" s="235"/>
    </row>
    <row r="19" spans="2:225" collapsed="1">
      <c r="B19" s="226"/>
      <c r="C19" s="227" t="s">
        <v>116</v>
      </c>
      <c r="D19" s="220" t="s">
        <v>95</v>
      </c>
      <c r="E19" s="221"/>
      <c r="F19" s="243"/>
      <c r="G19" s="243"/>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44"/>
      <c r="BQ19" s="244"/>
      <c r="BR19" s="244"/>
      <c r="BS19" s="244"/>
      <c r="BT19" s="244"/>
      <c r="BU19" s="244"/>
      <c r="BV19" s="244"/>
      <c r="BW19" s="244"/>
      <c r="BX19" s="244"/>
      <c r="BY19" s="244"/>
      <c r="BZ19" s="244"/>
      <c r="CA19" s="244"/>
      <c r="CB19" s="244"/>
      <c r="CC19" s="244"/>
      <c r="CD19" s="244"/>
      <c r="CE19" s="244"/>
      <c r="CF19" s="244"/>
      <c r="CG19" s="244"/>
      <c r="CH19" s="244"/>
      <c r="CI19" s="244"/>
      <c r="CJ19" s="244"/>
      <c r="CK19" s="244"/>
      <c r="CL19" s="244"/>
      <c r="CM19" s="244"/>
      <c r="CN19" s="244"/>
      <c r="CO19" s="244"/>
      <c r="CP19" s="244"/>
      <c r="CQ19" s="244"/>
      <c r="CR19" s="244"/>
      <c r="CS19" s="244"/>
      <c r="CT19" s="244"/>
      <c r="CU19" s="244"/>
      <c r="CV19" s="244"/>
      <c r="CW19" s="244"/>
      <c r="CX19" s="244"/>
      <c r="CY19" s="244"/>
      <c r="CZ19" s="244"/>
      <c r="DA19" s="244"/>
      <c r="DB19" s="244"/>
      <c r="DC19" s="244"/>
      <c r="DD19" s="244"/>
      <c r="DE19" s="244"/>
      <c r="DF19" s="244"/>
      <c r="DG19" s="244"/>
      <c r="DH19" s="244"/>
      <c r="DI19" s="244"/>
      <c r="DJ19" s="244"/>
      <c r="DK19" s="244"/>
      <c r="DL19" s="244"/>
      <c r="DM19" s="244"/>
      <c r="DN19" s="244"/>
      <c r="DO19" s="244"/>
      <c r="DP19" s="244"/>
      <c r="DQ19" s="244"/>
      <c r="DR19" s="244"/>
      <c r="DS19" s="244"/>
      <c r="DT19" s="244"/>
      <c r="DU19" s="244"/>
      <c r="DV19" s="244"/>
      <c r="DW19" s="244"/>
      <c r="DX19" s="244"/>
      <c r="DY19" s="244"/>
      <c r="DZ19" s="244"/>
      <c r="EA19" s="244"/>
      <c r="EB19" s="244"/>
      <c r="EC19" s="244"/>
      <c r="ED19" s="244"/>
      <c r="EE19" s="244"/>
      <c r="EF19" s="244"/>
      <c r="EG19" s="244"/>
      <c r="EH19" s="244"/>
      <c r="EI19" s="244"/>
      <c r="EJ19" s="244"/>
      <c r="EK19" s="244"/>
      <c r="EL19" s="244"/>
      <c r="EM19" s="244"/>
      <c r="EN19" s="244"/>
      <c r="EO19" s="244"/>
      <c r="EP19" s="244"/>
      <c r="EQ19" s="244"/>
      <c r="ER19" s="244"/>
      <c r="ES19" s="244"/>
      <c r="ET19" s="244"/>
      <c r="EU19" s="244"/>
      <c r="EV19" s="244"/>
      <c r="EW19" s="244"/>
      <c r="EX19" s="244"/>
      <c r="EY19" s="244"/>
      <c r="EZ19" s="244"/>
      <c r="FA19" s="244"/>
      <c r="FB19" s="244"/>
      <c r="FC19" s="244"/>
      <c r="FD19" s="244"/>
      <c r="FE19" s="244"/>
      <c r="FF19" s="244"/>
      <c r="FG19" s="244"/>
      <c r="FH19" s="244"/>
      <c r="FI19" s="244"/>
      <c r="FJ19" s="244"/>
      <c r="FK19" s="244"/>
      <c r="FL19" s="244"/>
      <c r="FM19" s="244"/>
      <c r="FN19" s="244"/>
      <c r="FO19" s="244"/>
      <c r="FP19" s="244"/>
      <c r="FQ19" s="244"/>
      <c r="FR19" s="244"/>
      <c r="FS19" s="244"/>
      <c r="FT19" s="244"/>
      <c r="FU19" s="244"/>
      <c r="FV19" s="244"/>
      <c r="FW19" s="244"/>
      <c r="FX19" s="244"/>
      <c r="FY19" s="244"/>
      <c r="FZ19" s="244"/>
      <c r="GA19" s="244"/>
      <c r="GB19" s="244"/>
      <c r="GC19" s="244"/>
      <c r="GD19" s="244"/>
      <c r="GE19" s="244"/>
      <c r="GF19" s="244"/>
      <c r="GG19" s="244"/>
      <c r="GH19" s="244"/>
      <c r="GI19" s="244"/>
      <c r="GJ19" s="244"/>
      <c r="GK19" s="244"/>
      <c r="GL19" s="244"/>
      <c r="GM19" s="244"/>
      <c r="GN19" s="244"/>
      <c r="GO19" s="244"/>
      <c r="GP19" s="244"/>
      <c r="GQ19" s="244"/>
      <c r="GR19" s="244"/>
      <c r="GS19" s="244"/>
      <c r="GT19" s="244"/>
      <c r="GU19" s="244"/>
      <c r="GV19" s="244"/>
      <c r="GW19" s="244"/>
      <c r="GX19" s="244"/>
      <c r="GY19" s="244"/>
      <c r="GZ19" s="244"/>
      <c r="HA19" s="244"/>
      <c r="HB19" s="244"/>
      <c r="HC19" s="244"/>
      <c r="HD19" s="244"/>
      <c r="HE19" s="244"/>
      <c r="HF19" s="244"/>
      <c r="HG19" s="244"/>
      <c r="HH19" s="244"/>
      <c r="HI19" s="244"/>
      <c r="HJ19" s="244"/>
      <c r="HK19" s="244"/>
      <c r="HL19" s="244"/>
      <c r="HM19" s="245"/>
      <c r="HN19" s="235"/>
      <c r="HO19" s="235"/>
      <c r="HP19" s="235"/>
      <c r="HQ19" s="235"/>
    </row>
    <row r="20" spans="2:225" hidden="1" outlineLevel="1">
      <c r="B20" s="246" t="s">
        <v>3010</v>
      </c>
      <c r="C20" s="247" t="str">
        <f>IF(F5='3. Dropdowns'!C12,"Hide",IF(OR(D5='3. Dropdowns'!C9,D5='3. Dropdowns'!C7),"Hide","Show"))</f>
        <v>Show</v>
      </c>
      <c r="D20" s="236" t="s">
        <v>3134</v>
      </c>
      <c r="E20" s="248"/>
      <c r="F20" s="249" t="str">
        <f>IF(E20='3. Dropdowns'!C43,"","Submittals")</f>
        <v>Submittals</v>
      </c>
      <c r="G20" s="250"/>
      <c r="H20" s="231"/>
      <c r="I20" s="232" t="s">
        <v>890</v>
      </c>
      <c r="J20" s="232" t="s">
        <v>890</v>
      </c>
      <c r="K20" s="232" t="s">
        <v>890</v>
      </c>
      <c r="L20" s="232"/>
      <c r="M20" s="232"/>
      <c r="N20" s="232"/>
      <c r="O20" s="232"/>
      <c r="P20" s="232"/>
      <c r="Q20" s="232"/>
      <c r="R20" s="232"/>
      <c r="S20" s="232"/>
      <c r="T20" s="232" t="s">
        <v>890</v>
      </c>
      <c r="U20" s="232"/>
      <c r="V20" s="232"/>
      <c r="W20" s="232"/>
      <c r="X20" s="231"/>
      <c r="Y20" s="232"/>
      <c r="Z20" s="232"/>
      <c r="AA20" s="232"/>
      <c r="AB20" s="232"/>
      <c r="AC20" s="232"/>
      <c r="AD20" s="232"/>
      <c r="AE20" s="232"/>
      <c r="AF20" s="232"/>
      <c r="AG20" s="232"/>
      <c r="AH20" s="231"/>
      <c r="AI20" s="232"/>
      <c r="AJ20" s="232"/>
      <c r="AK20" s="232"/>
      <c r="AL20" s="232"/>
      <c r="AM20" s="231"/>
      <c r="AN20" s="232"/>
      <c r="AO20" s="232"/>
      <c r="AP20" s="232"/>
      <c r="AQ20" s="231"/>
      <c r="AR20" s="232"/>
      <c r="AS20" s="232"/>
      <c r="AT20" s="232"/>
      <c r="AU20" s="232"/>
      <c r="AV20" s="232"/>
      <c r="AW20" s="232"/>
      <c r="AX20" s="232"/>
      <c r="AY20" s="232"/>
      <c r="AZ20" s="231"/>
      <c r="BA20" s="232"/>
      <c r="BB20" s="232"/>
      <c r="BC20" s="232"/>
      <c r="BD20" s="232"/>
      <c r="BE20" s="232"/>
      <c r="BF20" s="232"/>
      <c r="BG20" s="232"/>
      <c r="BH20" s="232"/>
      <c r="BI20" s="232"/>
      <c r="BJ20" s="232"/>
      <c r="BK20" s="232"/>
      <c r="BL20" s="232"/>
      <c r="BM20" s="232"/>
      <c r="BN20" s="232"/>
      <c r="BO20" s="232"/>
      <c r="BP20" s="231"/>
      <c r="BQ20" s="232"/>
      <c r="BR20" s="232"/>
      <c r="BS20" s="232"/>
      <c r="BT20" s="232"/>
      <c r="BU20" s="232"/>
      <c r="BV20" s="232"/>
      <c r="BW20" s="232"/>
      <c r="BX20" s="232"/>
      <c r="BY20" s="232"/>
      <c r="BZ20" s="232"/>
      <c r="CA20" s="232"/>
      <c r="CB20" s="232"/>
      <c r="CC20" s="232"/>
      <c r="CD20" s="232"/>
      <c r="CE20" s="232"/>
      <c r="CF20" s="231"/>
      <c r="CG20" s="232"/>
      <c r="CH20" s="232"/>
      <c r="CI20" s="232"/>
      <c r="CJ20" s="232"/>
      <c r="CK20" s="232"/>
      <c r="CL20" s="232"/>
      <c r="CM20" s="232"/>
      <c r="CN20" s="232"/>
      <c r="CO20" s="232"/>
      <c r="CP20" s="232"/>
      <c r="CQ20" s="232"/>
      <c r="CR20" s="232"/>
      <c r="CS20" s="231"/>
      <c r="CT20" s="232"/>
      <c r="CU20" s="232"/>
      <c r="CV20" s="232"/>
      <c r="CW20" s="232"/>
      <c r="CX20" s="232"/>
      <c r="CY20" s="232"/>
      <c r="CZ20" s="232"/>
      <c r="DA20" s="232"/>
      <c r="DB20" s="232"/>
      <c r="DC20" s="232"/>
      <c r="DD20" s="232"/>
      <c r="DE20" s="232"/>
      <c r="DF20" s="231"/>
      <c r="DG20" s="232"/>
      <c r="DH20" s="232"/>
      <c r="DI20" s="232"/>
      <c r="DJ20" s="232"/>
      <c r="DK20" s="232"/>
      <c r="DL20" s="232"/>
      <c r="DM20" s="232"/>
      <c r="DN20" s="232"/>
      <c r="DO20" s="232"/>
      <c r="DP20" s="232"/>
      <c r="DQ20" s="232"/>
      <c r="DR20" s="231"/>
      <c r="DS20" s="232"/>
      <c r="DT20" s="232"/>
      <c r="DU20" s="232"/>
      <c r="DV20" s="231"/>
      <c r="DW20" s="232"/>
      <c r="DX20" s="232"/>
      <c r="DY20" s="232"/>
      <c r="DZ20" s="232"/>
      <c r="EA20" s="232"/>
      <c r="EB20" s="232"/>
      <c r="EC20" s="232"/>
      <c r="ED20" s="232"/>
      <c r="EE20" s="232"/>
      <c r="EF20" s="231"/>
      <c r="EG20" s="232"/>
      <c r="EH20" s="232"/>
      <c r="EI20" s="232"/>
      <c r="EJ20" s="231"/>
      <c r="EK20" s="232"/>
      <c r="EL20" s="231"/>
      <c r="EM20" s="232"/>
      <c r="EN20" s="232"/>
      <c r="EO20" s="232"/>
      <c r="EP20" s="232"/>
      <c r="EQ20" s="232"/>
      <c r="ER20" s="232"/>
      <c r="ES20" s="232"/>
      <c r="ET20" s="232"/>
      <c r="EU20" s="232"/>
      <c r="EV20" s="232"/>
      <c r="EW20" s="232"/>
      <c r="EX20" s="231"/>
      <c r="EY20" s="232"/>
      <c r="EZ20" s="232"/>
      <c r="FA20" s="232"/>
      <c r="FB20" s="232"/>
      <c r="FC20" s="232"/>
      <c r="FD20" s="232"/>
      <c r="FE20" s="232"/>
      <c r="FF20" s="232"/>
      <c r="FG20" s="232"/>
      <c r="FH20" s="232"/>
      <c r="FI20" s="232"/>
      <c r="FJ20" s="232"/>
      <c r="FK20" s="232"/>
      <c r="FL20" s="232"/>
      <c r="FM20" s="232"/>
      <c r="FN20" s="232"/>
      <c r="FO20" s="231"/>
      <c r="FP20" s="232"/>
      <c r="FQ20" s="232"/>
      <c r="FR20" s="232"/>
      <c r="FS20" s="232"/>
      <c r="FT20" s="232"/>
      <c r="FU20" s="232"/>
      <c r="FV20" s="232"/>
      <c r="FW20" s="232"/>
      <c r="FX20" s="232"/>
      <c r="FY20" s="232"/>
      <c r="FZ20" s="231"/>
      <c r="GA20" s="233"/>
      <c r="GB20" s="233"/>
      <c r="GC20" s="231"/>
      <c r="GD20" s="233"/>
      <c r="GE20" s="233"/>
      <c r="GF20" s="233"/>
      <c r="GG20" s="240"/>
      <c r="GH20" s="231"/>
      <c r="GI20" s="240"/>
      <c r="GJ20" s="240"/>
      <c r="GK20" s="240"/>
      <c r="GL20" s="240"/>
      <c r="GM20" s="231"/>
      <c r="GN20" s="240"/>
      <c r="GO20" s="240"/>
      <c r="GP20" s="240"/>
      <c r="GQ20" s="240"/>
      <c r="GR20" s="240"/>
      <c r="GS20" s="240"/>
      <c r="GT20" s="240"/>
      <c r="GU20" s="240"/>
      <c r="GV20" s="240"/>
      <c r="GW20" s="240"/>
      <c r="GX20" s="240"/>
      <c r="GY20" s="240"/>
      <c r="GZ20" s="240"/>
      <c r="HA20" s="240"/>
      <c r="HB20" s="240"/>
      <c r="HC20" s="240"/>
      <c r="HD20" s="231"/>
      <c r="HE20" s="240"/>
      <c r="HF20" s="240"/>
      <c r="HG20" s="240"/>
      <c r="HH20" s="240"/>
      <c r="HI20" s="240"/>
      <c r="HJ20" s="231"/>
      <c r="HK20" s="240"/>
      <c r="HL20" s="231"/>
      <c r="HM20" s="241"/>
      <c r="HN20" s="235"/>
      <c r="HO20" s="235"/>
      <c r="HP20" s="235"/>
      <c r="HQ20" s="235"/>
    </row>
    <row r="21" spans="2:225" hidden="1" outlineLevel="1">
      <c r="B21" s="251" t="s">
        <v>3007</v>
      </c>
      <c r="C21" s="252" t="str">
        <f>IF(D5='3. Dropdowns'!$C$7, "Hide","Show")</f>
        <v>Show</v>
      </c>
      <c r="D21" s="236" t="s">
        <v>3135</v>
      </c>
      <c r="E21" s="248"/>
      <c r="F21" s="253" t="s">
        <v>131</v>
      </c>
      <c r="G21" s="254"/>
      <c r="H21" s="238"/>
      <c r="I21" s="239"/>
      <c r="J21" s="239"/>
      <c r="K21" s="239"/>
      <c r="L21" s="239"/>
      <c r="M21" s="239"/>
      <c r="N21" s="239"/>
      <c r="O21" s="239"/>
      <c r="P21" s="239"/>
      <c r="Q21" s="239"/>
      <c r="R21" s="239"/>
      <c r="S21" s="239"/>
      <c r="T21" s="239" t="s">
        <v>890</v>
      </c>
      <c r="U21" s="239"/>
      <c r="V21" s="239"/>
      <c r="W21" s="239"/>
      <c r="X21" s="238"/>
      <c r="Y21" s="239"/>
      <c r="Z21" s="239"/>
      <c r="AA21" s="239"/>
      <c r="AB21" s="239"/>
      <c r="AC21" s="239"/>
      <c r="AD21" s="239"/>
      <c r="AE21" s="239"/>
      <c r="AF21" s="239"/>
      <c r="AG21" s="239"/>
      <c r="AH21" s="238"/>
      <c r="AI21" s="239"/>
      <c r="AJ21" s="239"/>
      <c r="AK21" s="239"/>
      <c r="AL21" s="239"/>
      <c r="AM21" s="238"/>
      <c r="AN21" s="239"/>
      <c r="AO21" s="239"/>
      <c r="AP21" s="239"/>
      <c r="AQ21" s="238"/>
      <c r="AR21" s="239"/>
      <c r="AS21" s="239"/>
      <c r="AT21" s="239"/>
      <c r="AU21" s="239"/>
      <c r="AV21" s="239"/>
      <c r="AW21" s="239"/>
      <c r="AX21" s="239"/>
      <c r="AY21" s="239"/>
      <c r="AZ21" s="238"/>
      <c r="BA21" s="239"/>
      <c r="BB21" s="239"/>
      <c r="BC21" s="239"/>
      <c r="BD21" s="239"/>
      <c r="BE21" s="239"/>
      <c r="BF21" s="239"/>
      <c r="BG21" s="239"/>
      <c r="BH21" s="239"/>
      <c r="BI21" s="239"/>
      <c r="BJ21" s="239"/>
      <c r="BK21" s="239"/>
      <c r="BL21" s="239"/>
      <c r="BM21" s="239"/>
      <c r="BN21" s="239"/>
      <c r="BO21" s="239"/>
      <c r="BP21" s="238"/>
      <c r="BQ21" s="239"/>
      <c r="BR21" s="239"/>
      <c r="BS21" s="239"/>
      <c r="BT21" s="239"/>
      <c r="BU21" s="239"/>
      <c r="BV21" s="239"/>
      <c r="BW21" s="239"/>
      <c r="BX21" s="239"/>
      <c r="BY21" s="239"/>
      <c r="BZ21" s="239"/>
      <c r="CA21" s="239"/>
      <c r="CB21" s="239"/>
      <c r="CC21" s="239"/>
      <c r="CD21" s="239"/>
      <c r="CE21" s="239"/>
      <c r="CF21" s="238"/>
      <c r="CG21" s="239"/>
      <c r="CH21" s="239"/>
      <c r="CI21" s="239"/>
      <c r="CJ21" s="239"/>
      <c r="CK21" s="239"/>
      <c r="CL21" s="239"/>
      <c r="CM21" s="239"/>
      <c r="CN21" s="239"/>
      <c r="CO21" s="239"/>
      <c r="CP21" s="239"/>
      <c r="CQ21" s="239"/>
      <c r="CR21" s="239"/>
      <c r="CS21" s="238"/>
      <c r="CT21" s="239"/>
      <c r="CU21" s="239"/>
      <c r="CV21" s="239"/>
      <c r="CW21" s="239"/>
      <c r="CX21" s="239"/>
      <c r="CY21" s="239"/>
      <c r="CZ21" s="239"/>
      <c r="DA21" s="239"/>
      <c r="DB21" s="239"/>
      <c r="DC21" s="239"/>
      <c r="DD21" s="239"/>
      <c r="DE21" s="239"/>
      <c r="DF21" s="238"/>
      <c r="DG21" s="239"/>
      <c r="DH21" s="239"/>
      <c r="DI21" s="239"/>
      <c r="DJ21" s="239"/>
      <c r="DK21" s="239"/>
      <c r="DL21" s="239"/>
      <c r="DM21" s="239"/>
      <c r="DN21" s="239"/>
      <c r="DO21" s="239"/>
      <c r="DP21" s="239"/>
      <c r="DQ21" s="239"/>
      <c r="DR21" s="238"/>
      <c r="DS21" s="239"/>
      <c r="DT21" s="239"/>
      <c r="DU21" s="239"/>
      <c r="DV21" s="238"/>
      <c r="DW21" s="239"/>
      <c r="DX21" s="239"/>
      <c r="DY21" s="239"/>
      <c r="DZ21" s="239"/>
      <c r="EA21" s="239"/>
      <c r="EB21" s="239"/>
      <c r="EC21" s="239"/>
      <c r="ED21" s="239"/>
      <c r="EE21" s="239"/>
      <c r="EF21" s="238"/>
      <c r="EG21" s="239"/>
      <c r="EH21" s="239"/>
      <c r="EI21" s="239"/>
      <c r="EJ21" s="238"/>
      <c r="EK21" s="239"/>
      <c r="EL21" s="238"/>
      <c r="EM21" s="239"/>
      <c r="EN21" s="239"/>
      <c r="EO21" s="239"/>
      <c r="EP21" s="239"/>
      <c r="EQ21" s="239"/>
      <c r="ER21" s="239"/>
      <c r="ES21" s="239"/>
      <c r="ET21" s="239"/>
      <c r="EU21" s="239"/>
      <c r="EV21" s="239"/>
      <c r="EW21" s="239"/>
      <c r="EX21" s="238"/>
      <c r="EY21" s="239"/>
      <c r="EZ21" s="239"/>
      <c r="FA21" s="239"/>
      <c r="FB21" s="239"/>
      <c r="FC21" s="239"/>
      <c r="FD21" s="239"/>
      <c r="FE21" s="239"/>
      <c r="FF21" s="239"/>
      <c r="FG21" s="239"/>
      <c r="FH21" s="239"/>
      <c r="FI21" s="239"/>
      <c r="FJ21" s="239"/>
      <c r="FK21" s="239"/>
      <c r="FL21" s="239"/>
      <c r="FM21" s="239"/>
      <c r="FN21" s="239"/>
      <c r="FO21" s="238"/>
      <c r="FP21" s="239"/>
      <c r="FQ21" s="239"/>
      <c r="FR21" s="239"/>
      <c r="FS21" s="239"/>
      <c r="FT21" s="239"/>
      <c r="FU21" s="239"/>
      <c r="FV21" s="239"/>
      <c r="FW21" s="239"/>
      <c r="FX21" s="239"/>
      <c r="FY21" s="239"/>
      <c r="FZ21" s="238"/>
      <c r="GA21" s="240"/>
      <c r="GB21" s="240"/>
      <c r="GC21" s="238"/>
      <c r="GD21" s="240"/>
      <c r="GE21" s="240"/>
      <c r="GF21" s="240"/>
      <c r="GG21" s="240"/>
      <c r="GH21" s="238"/>
      <c r="GI21" s="240"/>
      <c r="GJ21" s="240"/>
      <c r="GK21" s="240"/>
      <c r="GL21" s="240"/>
      <c r="GM21" s="238"/>
      <c r="GN21" s="240"/>
      <c r="GO21" s="240"/>
      <c r="GP21" s="240"/>
      <c r="GQ21" s="240"/>
      <c r="GR21" s="240"/>
      <c r="GS21" s="240"/>
      <c r="GT21" s="240"/>
      <c r="GU21" s="240"/>
      <c r="GV21" s="240"/>
      <c r="GW21" s="240"/>
      <c r="GX21" s="240"/>
      <c r="GY21" s="240"/>
      <c r="GZ21" s="240"/>
      <c r="HA21" s="240"/>
      <c r="HB21" s="240"/>
      <c r="HC21" s="240"/>
      <c r="HD21" s="238"/>
      <c r="HE21" s="240"/>
      <c r="HF21" s="240"/>
      <c r="HG21" s="240"/>
      <c r="HH21" s="240"/>
      <c r="HI21" s="240"/>
      <c r="HJ21" s="238"/>
      <c r="HK21" s="240"/>
      <c r="HL21" s="238"/>
      <c r="HM21" s="241"/>
      <c r="HN21" s="235"/>
      <c r="HO21" s="235"/>
      <c r="HP21" s="235"/>
      <c r="HQ21" s="235"/>
    </row>
    <row r="22" spans="2:225" hidden="1" outlineLevel="1">
      <c r="B22" s="246"/>
      <c r="C22" s="247" t="s">
        <v>116</v>
      </c>
      <c r="D22" s="236" t="s">
        <v>3136</v>
      </c>
      <c r="E22" s="248"/>
      <c r="F22" s="253" t="s">
        <v>227</v>
      </c>
      <c r="G22" s="254"/>
      <c r="H22" s="238"/>
      <c r="I22" s="239"/>
      <c r="J22" s="239"/>
      <c r="K22" s="239"/>
      <c r="L22" s="239"/>
      <c r="M22" s="239"/>
      <c r="N22" s="239"/>
      <c r="O22" s="239"/>
      <c r="P22" s="239"/>
      <c r="Q22" s="239"/>
      <c r="R22" s="239"/>
      <c r="S22" s="239"/>
      <c r="T22" s="239" t="s">
        <v>890</v>
      </c>
      <c r="U22" s="239"/>
      <c r="V22" s="239"/>
      <c r="W22" s="239"/>
      <c r="X22" s="238"/>
      <c r="Y22" s="239"/>
      <c r="Z22" s="239"/>
      <c r="AA22" s="239"/>
      <c r="AB22" s="239"/>
      <c r="AC22" s="239"/>
      <c r="AD22" s="239"/>
      <c r="AE22" s="239"/>
      <c r="AF22" s="239"/>
      <c r="AG22" s="239"/>
      <c r="AH22" s="238"/>
      <c r="AI22" s="239"/>
      <c r="AJ22" s="239"/>
      <c r="AK22" s="239"/>
      <c r="AL22" s="239"/>
      <c r="AM22" s="238"/>
      <c r="AN22" s="239"/>
      <c r="AO22" s="239"/>
      <c r="AP22" s="239"/>
      <c r="AQ22" s="238"/>
      <c r="AR22" s="239"/>
      <c r="AS22" s="239"/>
      <c r="AT22" s="239"/>
      <c r="AU22" s="239"/>
      <c r="AV22" s="239"/>
      <c r="AW22" s="239"/>
      <c r="AX22" s="239"/>
      <c r="AY22" s="239"/>
      <c r="AZ22" s="238"/>
      <c r="BA22" s="239"/>
      <c r="BB22" s="239"/>
      <c r="BC22" s="239"/>
      <c r="BD22" s="239"/>
      <c r="BE22" s="239"/>
      <c r="BF22" s="239"/>
      <c r="BG22" s="239"/>
      <c r="BH22" s="239"/>
      <c r="BI22" s="239"/>
      <c r="BJ22" s="239"/>
      <c r="BK22" s="239"/>
      <c r="BL22" s="239"/>
      <c r="BM22" s="239"/>
      <c r="BN22" s="239"/>
      <c r="BO22" s="239"/>
      <c r="BP22" s="238"/>
      <c r="BQ22" s="239"/>
      <c r="BR22" s="239"/>
      <c r="BS22" s="239"/>
      <c r="BT22" s="239"/>
      <c r="BU22" s="239"/>
      <c r="BV22" s="239"/>
      <c r="BW22" s="239"/>
      <c r="BX22" s="239"/>
      <c r="BY22" s="239"/>
      <c r="BZ22" s="239"/>
      <c r="CA22" s="239"/>
      <c r="CB22" s="239"/>
      <c r="CC22" s="239"/>
      <c r="CD22" s="239"/>
      <c r="CE22" s="239"/>
      <c r="CF22" s="238"/>
      <c r="CG22" s="239"/>
      <c r="CH22" s="239"/>
      <c r="CI22" s="239"/>
      <c r="CJ22" s="239"/>
      <c r="CK22" s="239"/>
      <c r="CL22" s="239"/>
      <c r="CM22" s="239"/>
      <c r="CN22" s="239"/>
      <c r="CO22" s="239"/>
      <c r="CP22" s="239"/>
      <c r="CQ22" s="239"/>
      <c r="CR22" s="239"/>
      <c r="CS22" s="238"/>
      <c r="CT22" s="239"/>
      <c r="CU22" s="239"/>
      <c r="CV22" s="239"/>
      <c r="CW22" s="239"/>
      <c r="CX22" s="239"/>
      <c r="CY22" s="239"/>
      <c r="CZ22" s="239"/>
      <c r="DA22" s="239"/>
      <c r="DB22" s="239"/>
      <c r="DC22" s="239"/>
      <c r="DD22" s="239"/>
      <c r="DE22" s="239"/>
      <c r="DF22" s="238"/>
      <c r="DG22" s="239"/>
      <c r="DH22" s="239"/>
      <c r="DI22" s="239"/>
      <c r="DJ22" s="239"/>
      <c r="DK22" s="239"/>
      <c r="DL22" s="239"/>
      <c r="DM22" s="239"/>
      <c r="DN22" s="239"/>
      <c r="DO22" s="239"/>
      <c r="DP22" s="239"/>
      <c r="DQ22" s="239"/>
      <c r="DR22" s="238"/>
      <c r="DS22" s="239"/>
      <c r="DT22" s="239"/>
      <c r="DU22" s="239"/>
      <c r="DV22" s="238"/>
      <c r="DW22" s="239"/>
      <c r="DX22" s="239"/>
      <c r="DY22" s="239"/>
      <c r="DZ22" s="239"/>
      <c r="EA22" s="239"/>
      <c r="EB22" s="239"/>
      <c r="EC22" s="239"/>
      <c r="ED22" s="239"/>
      <c r="EE22" s="239"/>
      <c r="EF22" s="238"/>
      <c r="EG22" s="239"/>
      <c r="EH22" s="239"/>
      <c r="EI22" s="239"/>
      <c r="EJ22" s="238"/>
      <c r="EK22" s="239"/>
      <c r="EL22" s="238"/>
      <c r="EM22" s="239"/>
      <c r="EN22" s="239"/>
      <c r="EO22" s="239"/>
      <c r="EP22" s="239"/>
      <c r="EQ22" s="239"/>
      <c r="ER22" s="239"/>
      <c r="ES22" s="239"/>
      <c r="ET22" s="239"/>
      <c r="EU22" s="239"/>
      <c r="EV22" s="239"/>
      <c r="EW22" s="239"/>
      <c r="EX22" s="238"/>
      <c r="EY22" s="239"/>
      <c r="EZ22" s="239"/>
      <c r="FA22" s="239"/>
      <c r="FB22" s="239"/>
      <c r="FC22" s="239"/>
      <c r="FD22" s="239"/>
      <c r="FE22" s="239"/>
      <c r="FF22" s="239"/>
      <c r="FG22" s="239"/>
      <c r="FH22" s="239"/>
      <c r="FI22" s="239"/>
      <c r="FJ22" s="239"/>
      <c r="FK22" s="239"/>
      <c r="FL22" s="239"/>
      <c r="FM22" s="239"/>
      <c r="FN22" s="239"/>
      <c r="FO22" s="238"/>
      <c r="FP22" s="239"/>
      <c r="FQ22" s="239"/>
      <c r="FR22" s="239"/>
      <c r="FS22" s="239"/>
      <c r="FT22" s="239"/>
      <c r="FU22" s="239"/>
      <c r="FV22" s="239"/>
      <c r="FW22" s="239"/>
      <c r="FX22" s="239"/>
      <c r="FY22" s="239"/>
      <c r="FZ22" s="238"/>
      <c r="GA22" s="240"/>
      <c r="GB22" s="240"/>
      <c r="GC22" s="238"/>
      <c r="GD22" s="240"/>
      <c r="GE22" s="240"/>
      <c r="GF22" s="240"/>
      <c r="GG22" s="240"/>
      <c r="GH22" s="238"/>
      <c r="GI22" s="240"/>
      <c r="GJ22" s="240"/>
      <c r="GK22" s="240"/>
      <c r="GL22" s="240"/>
      <c r="GM22" s="238"/>
      <c r="GN22" s="240"/>
      <c r="GO22" s="240"/>
      <c r="GP22" s="240"/>
      <c r="GQ22" s="240"/>
      <c r="GR22" s="240"/>
      <c r="GS22" s="240"/>
      <c r="GT22" s="240"/>
      <c r="GU22" s="240"/>
      <c r="GV22" s="240"/>
      <c r="GW22" s="240"/>
      <c r="GX22" s="240"/>
      <c r="GY22" s="240"/>
      <c r="GZ22" s="240"/>
      <c r="HA22" s="240"/>
      <c r="HB22" s="240"/>
      <c r="HC22" s="240"/>
      <c r="HD22" s="238"/>
      <c r="HE22" s="240"/>
      <c r="HF22" s="240"/>
      <c r="HG22" s="240"/>
      <c r="HH22" s="240"/>
      <c r="HI22" s="240"/>
      <c r="HJ22" s="238"/>
      <c r="HK22" s="240"/>
      <c r="HL22" s="238"/>
      <c r="HM22" s="241"/>
      <c r="HN22" s="235"/>
      <c r="HO22" s="235"/>
      <c r="HP22" s="235"/>
      <c r="HQ22" s="235"/>
    </row>
    <row r="23" spans="2:225" ht="37.5" hidden="1" outlineLevel="1">
      <c r="B23" s="251" t="s">
        <v>407</v>
      </c>
      <c r="C23" s="252" t="str">
        <f>IF(OR(F5='3. Dropdowns'!$C$11,'1. Criteria &amp; Spec Matrix'!D5='3. Dropdowns'!$C$8,'1. Criteria &amp; Spec Matrix'!D5='3. Dropdowns'!$C$9),"Hide","Show")</f>
        <v>Show</v>
      </c>
      <c r="D23" s="236" t="s">
        <v>3137</v>
      </c>
      <c r="E23" s="237"/>
      <c r="F23" s="255" t="s">
        <v>539</v>
      </c>
      <c r="G23" s="254"/>
      <c r="H23" s="238"/>
      <c r="I23" s="239"/>
      <c r="J23" s="239"/>
      <c r="K23" s="239"/>
      <c r="L23" s="239"/>
      <c r="M23" s="239"/>
      <c r="N23" s="239"/>
      <c r="O23" s="239"/>
      <c r="P23" s="239"/>
      <c r="Q23" s="239"/>
      <c r="R23" s="239"/>
      <c r="S23" s="239"/>
      <c r="T23" s="239" t="s">
        <v>890</v>
      </c>
      <c r="U23" s="239"/>
      <c r="V23" s="239"/>
      <c r="W23" s="239"/>
      <c r="X23" s="238"/>
      <c r="Y23" s="239"/>
      <c r="Z23" s="239"/>
      <c r="AA23" s="239"/>
      <c r="AB23" s="239"/>
      <c r="AC23" s="239"/>
      <c r="AD23" s="239"/>
      <c r="AE23" s="239"/>
      <c r="AF23" s="239"/>
      <c r="AG23" s="239"/>
      <c r="AH23" s="238"/>
      <c r="AI23" s="239"/>
      <c r="AJ23" s="239"/>
      <c r="AK23" s="239"/>
      <c r="AL23" s="239"/>
      <c r="AM23" s="238"/>
      <c r="AN23" s="239"/>
      <c r="AO23" s="239"/>
      <c r="AP23" s="239"/>
      <c r="AQ23" s="238"/>
      <c r="AR23" s="239"/>
      <c r="AS23" s="239"/>
      <c r="AT23" s="239"/>
      <c r="AU23" s="239"/>
      <c r="AV23" s="239"/>
      <c r="AW23" s="239"/>
      <c r="AX23" s="239"/>
      <c r="AY23" s="239"/>
      <c r="AZ23" s="238"/>
      <c r="BA23" s="239"/>
      <c r="BB23" s="239"/>
      <c r="BC23" s="239"/>
      <c r="BD23" s="239"/>
      <c r="BE23" s="239"/>
      <c r="BF23" s="239"/>
      <c r="BG23" s="239"/>
      <c r="BH23" s="239"/>
      <c r="BI23" s="239"/>
      <c r="BJ23" s="239"/>
      <c r="BK23" s="239"/>
      <c r="BL23" s="239"/>
      <c r="BM23" s="239"/>
      <c r="BN23" s="239"/>
      <c r="BO23" s="239"/>
      <c r="BP23" s="238"/>
      <c r="BQ23" s="239"/>
      <c r="BR23" s="239"/>
      <c r="BS23" s="239"/>
      <c r="BT23" s="239"/>
      <c r="BU23" s="239"/>
      <c r="BV23" s="239"/>
      <c r="BW23" s="239"/>
      <c r="BX23" s="239"/>
      <c r="BY23" s="239"/>
      <c r="BZ23" s="239"/>
      <c r="CA23" s="239"/>
      <c r="CB23" s="239"/>
      <c r="CC23" s="239"/>
      <c r="CD23" s="239"/>
      <c r="CE23" s="239"/>
      <c r="CF23" s="238"/>
      <c r="CG23" s="239"/>
      <c r="CH23" s="239"/>
      <c r="CI23" s="239"/>
      <c r="CJ23" s="239"/>
      <c r="CK23" s="239"/>
      <c r="CL23" s="239"/>
      <c r="CM23" s="239"/>
      <c r="CN23" s="239"/>
      <c r="CO23" s="239"/>
      <c r="CP23" s="239"/>
      <c r="CQ23" s="239"/>
      <c r="CR23" s="239"/>
      <c r="CS23" s="238"/>
      <c r="CT23" s="239"/>
      <c r="CU23" s="239"/>
      <c r="CV23" s="239"/>
      <c r="CW23" s="239"/>
      <c r="CX23" s="239"/>
      <c r="CY23" s="239"/>
      <c r="CZ23" s="239"/>
      <c r="DA23" s="239"/>
      <c r="DB23" s="239"/>
      <c r="DC23" s="239"/>
      <c r="DD23" s="239"/>
      <c r="DE23" s="239"/>
      <c r="DF23" s="238"/>
      <c r="DG23" s="239"/>
      <c r="DH23" s="239"/>
      <c r="DI23" s="239"/>
      <c r="DJ23" s="239"/>
      <c r="DK23" s="239"/>
      <c r="DL23" s="239"/>
      <c r="DM23" s="239"/>
      <c r="DN23" s="239"/>
      <c r="DO23" s="239"/>
      <c r="DP23" s="239"/>
      <c r="DQ23" s="239"/>
      <c r="DR23" s="238"/>
      <c r="DS23" s="239"/>
      <c r="DT23" s="239"/>
      <c r="DU23" s="239"/>
      <c r="DV23" s="238"/>
      <c r="DW23" s="239"/>
      <c r="DX23" s="239"/>
      <c r="DY23" s="239"/>
      <c r="DZ23" s="239"/>
      <c r="EA23" s="239"/>
      <c r="EB23" s="239"/>
      <c r="EC23" s="239"/>
      <c r="ED23" s="239"/>
      <c r="EE23" s="239"/>
      <c r="EF23" s="238"/>
      <c r="EG23" s="239"/>
      <c r="EH23" s="239"/>
      <c r="EI23" s="239"/>
      <c r="EJ23" s="238"/>
      <c r="EK23" s="239"/>
      <c r="EL23" s="238"/>
      <c r="EM23" s="239"/>
      <c r="EN23" s="239"/>
      <c r="EO23" s="239"/>
      <c r="EP23" s="239"/>
      <c r="EQ23" s="239"/>
      <c r="ER23" s="239"/>
      <c r="ES23" s="239"/>
      <c r="ET23" s="239"/>
      <c r="EU23" s="239"/>
      <c r="EV23" s="239"/>
      <c r="EW23" s="239"/>
      <c r="EX23" s="238"/>
      <c r="EY23" s="239"/>
      <c r="EZ23" s="239"/>
      <c r="FA23" s="239"/>
      <c r="FB23" s="239"/>
      <c r="FC23" s="239"/>
      <c r="FD23" s="239"/>
      <c r="FE23" s="239"/>
      <c r="FF23" s="239"/>
      <c r="FG23" s="239"/>
      <c r="FH23" s="239"/>
      <c r="FI23" s="239"/>
      <c r="FJ23" s="239"/>
      <c r="FK23" s="239"/>
      <c r="FL23" s="239"/>
      <c r="FM23" s="239"/>
      <c r="FN23" s="239"/>
      <c r="FO23" s="238"/>
      <c r="FP23" s="239"/>
      <c r="FQ23" s="239"/>
      <c r="FR23" s="239"/>
      <c r="FS23" s="239"/>
      <c r="FT23" s="239"/>
      <c r="FU23" s="239"/>
      <c r="FV23" s="239"/>
      <c r="FW23" s="239"/>
      <c r="FX23" s="239"/>
      <c r="FY23" s="239"/>
      <c r="FZ23" s="238"/>
      <c r="GA23" s="240"/>
      <c r="GB23" s="240"/>
      <c r="GC23" s="238"/>
      <c r="GD23" s="240"/>
      <c r="GE23" s="240"/>
      <c r="GF23" s="240"/>
      <c r="GG23" s="240"/>
      <c r="GH23" s="238"/>
      <c r="GI23" s="240"/>
      <c r="GJ23" s="240"/>
      <c r="GK23" s="240"/>
      <c r="GL23" s="240"/>
      <c r="GM23" s="238"/>
      <c r="GN23" s="240"/>
      <c r="GO23" s="240"/>
      <c r="GP23" s="240"/>
      <c r="GQ23" s="240"/>
      <c r="GR23" s="240"/>
      <c r="GS23" s="240"/>
      <c r="GT23" s="240"/>
      <c r="GU23" s="240"/>
      <c r="GV23" s="240"/>
      <c r="GW23" s="240"/>
      <c r="GX23" s="240"/>
      <c r="GY23" s="240"/>
      <c r="GZ23" s="240"/>
      <c r="HA23" s="240"/>
      <c r="HB23" s="240"/>
      <c r="HC23" s="240"/>
      <c r="HD23" s="238"/>
      <c r="HE23" s="240"/>
      <c r="HF23" s="240"/>
      <c r="HG23" s="240"/>
      <c r="HH23" s="240"/>
      <c r="HI23" s="240"/>
      <c r="HJ23" s="238"/>
      <c r="HK23" s="240"/>
      <c r="HL23" s="238"/>
      <c r="HM23" s="241"/>
      <c r="HN23" s="235"/>
      <c r="HO23" s="235"/>
      <c r="HP23" s="235"/>
      <c r="HQ23" s="235"/>
    </row>
    <row r="24" spans="2:225" hidden="1" outlineLevel="1">
      <c r="B24" s="251" t="s">
        <v>408</v>
      </c>
      <c r="C24" s="252" t="str">
        <f>IF(OR(D5='3. Dropdowns'!$C$8,D5='3. Dropdowns'!C9,),"Hide","Show")</f>
        <v>Show</v>
      </c>
      <c r="D24" s="236" t="s">
        <v>3138</v>
      </c>
      <c r="E24" s="237"/>
      <c r="F24" s="255"/>
      <c r="G24" s="254"/>
      <c r="H24" s="238"/>
      <c r="I24" s="239"/>
      <c r="J24" s="239"/>
      <c r="K24" s="239"/>
      <c r="L24" s="239"/>
      <c r="M24" s="239"/>
      <c r="N24" s="239"/>
      <c r="O24" s="239"/>
      <c r="P24" s="239"/>
      <c r="Q24" s="239"/>
      <c r="R24" s="239"/>
      <c r="S24" s="239"/>
      <c r="T24" s="239"/>
      <c r="U24" s="239"/>
      <c r="V24" s="239"/>
      <c r="W24" s="239"/>
      <c r="X24" s="238"/>
      <c r="Y24" s="239"/>
      <c r="Z24" s="239"/>
      <c r="AA24" s="239"/>
      <c r="AB24" s="239"/>
      <c r="AC24" s="239"/>
      <c r="AD24" s="239"/>
      <c r="AE24" s="239"/>
      <c r="AF24" s="239"/>
      <c r="AG24" s="239"/>
      <c r="AH24" s="238"/>
      <c r="AI24" s="239"/>
      <c r="AJ24" s="239"/>
      <c r="AK24" s="239"/>
      <c r="AL24" s="239"/>
      <c r="AM24" s="238"/>
      <c r="AN24" s="239"/>
      <c r="AO24" s="239"/>
      <c r="AP24" s="239"/>
      <c r="AQ24" s="238"/>
      <c r="AR24" s="239"/>
      <c r="AS24" s="239"/>
      <c r="AT24" s="239"/>
      <c r="AU24" s="239"/>
      <c r="AV24" s="239"/>
      <c r="AW24" s="239"/>
      <c r="AX24" s="239"/>
      <c r="AY24" s="239"/>
      <c r="AZ24" s="238"/>
      <c r="BA24" s="239"/>
      <c r="BB24" s="239"/>
      <c r="BC24" s="239"/>
      <c r="BD24" s="239"/>
      <c r="BE24" s="239"/>
      <c r="BF24" s="239"/>
      <c r="BG24" s="239"/>
      <c r="BH24" s="239"/>
      <c r="BI24" s="239"/>
      <c r="BJ24" s="239"/>
      <c r="BK24" s="239"/>
      <c r="BL24" s="239"/>
      <c r="BM24" s="239"/>
      <c r="BN24" s="239"/>
      <c r="BO24" s="239"/>
      <c r="BP24" s="238"/>
      <c r="BQ24" s="239"/>
      <c r="BR24" s="239"/>
      <c r="BS24" s="239"/>
      <c r="BT24" s="239"/>
      <c r="BU24" s="239"/>
      <c r="BV24" s="239"/>
      <c r="BW24" s="239"/>
      <c r="BX24" s="239"/>
      <c r="BY24" s="239"/>
      <c r="BZ24" s="239"/>
      <c r="CA24" s="239"/>
      <c r="CB24" s="239"/>
      <c r="CC24" s="239"/>
      <c r="CD24" s="239"/>
      <c r="CE24" s="239"/>
      <c r="CF24" s="238"/>
      <c r="CG24" s="239"/>
      <c r="CH24" s="239"/>
      <c r="CI24" s="239"/>
      <c r="CJ24" s="239"/>
      <c r="CK24" s="239"/>
      <c r="CL24" s="239"/>
      <c r="CM24" s="239"/>
      <c r="CN24" s="239"/>
      <c r="CO24" s="239"/>
      <c r="CP24" s="239"/>
      <c r="CQ24" s="239"/>
      <c r="CR24" s="239"/>
      <c r="CS24" s="238"/>
      <c r="CT24" s="239"/>
      <c r="CU24" s="239"/>
      <c r="CV24" s="239"/>
      <c r="CW24" s="239"/>
      <c r="CX24" s="239"/>
      <c r="CY24" s="239"/>
      <c r="CZ24" s="239"/>
      <c r="DA24" s="239"/>
      <c r="DB24" s="239"/>
      <c r="DC24" s="239"/>
      <c r="DD24" s="239"/>
      <c r="DE24" s="239"/>
      <c r="DF24" s="238"/>
      <c r="DG24" s="239"/>
      <c r="DH24" s="239"/>
      <c r="DI24" s="239"/>
      <c r="DJ24" s="239"/>
      <c r="DK24" s="239"/>
      <c r="DL24" s="239"/>
      <c r="DM24" s="239"/>
      <c r="DN24" s="239"/>
      <c r="DO24" s="239"/>
      <c r="DP24" s="239"/>
      <c r="DQ24" s="239"/>
      <c r="DR24" s="238"/>
      <c r="DS24" s="239"/>
      <c r="DT24" s="239"/>
      <c r="DU24" s="239"/>
      <c r="DV24" s="238"/>
      <c r="DW24" s="239"/>
      <c r="DX24" s="239"/>
      <c r="DY24" s="239"/>
      <c r="DZ24" s="239"/>
      <c r="EA24" s="239"/>
      <c r="EB24" s="239"/>
      <c r="EC24" s="239"/>
      <c r="ED24" s="239"/>
      <c r="EE24" s="239"/>
      <c r="EF24" s="238"/>
      <c r="EG24" s="239"/>
      <c r="EH24" s="239"/>
      <c r="EI24" s="239"/>
      <c r="EJ24" s="238"/>
      <c r="EK24" s="239"/>
      <c r="EL24" s="238"/>
      <c r="EM24" s="239"/>
      <c r="EN24" s="239"/>
      <c r="EO24" s="239"/>
      <c r="EP24" s="239"/>
      <c r="EQ24" s="239"/>
      <c r="ER24" s="239"/>
      <c r="ES24" s="239"/>
      <c r="ET24" s="239"/>
      <c r="EU24" s="239"/>
      <c r="EV24" s="239"/>
      <c r="EW24" s="239"/>
      <c r="EX24" s="238"/>
      <c r="EY24" s="239"/>
      <c r="EZ24" s="239"/>
      <c r="FA24" s="239"/>
      <c r="FB24" s="239"/>
      <c r="FC24" s="239"/>
      <c r="FD24" s="239"/>
      <c r="FE24" s="239"/>
      <c r="FF24" s="239"/>
      <c r="FG24" s="239"/>
      <c r="FH24" s="239"/>
      <c r="FI24" s="239"/>
      <c r="FJ24" s="239"/>
      <c r="FK24" s="239"/>
      <c r="FL24" s="239"/>
      <c r="FM24" s="239"/>
      <c r="FN24" s="239"/>
      <c r="FO24" s="238"/>
      <c r="FP24" s="239"/>
      <c r="FQ24" s="239"/>
      <c r="FR24" s="239"/>
      <c r="FS24" s="239"/>
      <c r="FT24" s="239"/>
      <c r="FU24" s="239"/>
      <c r="FV24" s="239"/>
      <c r="FW24" s="239"/>
      <c r="FX24" s="239"/>
      <c r="FY24" s="239"/>
      <c r="FZ24" s="238"/>
      <c r="GA24" s="240"/>
      <c r="GB24" s="240"/>
      <c r="GC24" s="238"/>
      <c r="GD24" s="240"/>
      <c r="GE24" s="240"/>
      <c r="GF24" s="240"/>
      <c r="GG24" s="240"/>
      <c r="GH24" s="238"/>
      <c r="GI24" s="240"/>
      <c r="GJ24" s="240"/>
      <c r="GK24" s="240"/>
      <c r="GL24" s="240"/>
      <c r="GM24" s="238"/>
      <c r="GN24" s="240"/>
      <c r="GO24" s="240"/>
      <c r="GP24" s="240"/>
      <c r="GQ24" s="240"/>
      <c r="GR24" s="240"/>
      <c r="GS24" s="240"/>
      <c r="GT24" s="240"/>
      <c r="GU24" s="240"/>
      <c r="GV24" s="240"/>
      <c r="GW24" s="240"/>
      <c r="GX24" s="240"/>
      <c r="GY24" s="240"/>
      <c r="GZ24" s="240"/>
      <c r="HA24" s="240"/>
      <c r="HB24" s="240"/>
      <c r="HC24" s="240"/>
      <c r="HD24" s="238"/>
      <c r="HE24" s="240"/>
      <c r="HF24" s="240"/>
      <c r="HG24" s="240"/>
      <c r="HH24" s="240"/>
      <c r="HI24" s="240"/>
      <c r="HJ24" s="238"/>
      <c r="HK24" s="240"/>
      <c r="HL24" s="238"/>
      <c r="HM24" s="241"/>
      <c r="HN24" s="235"/>
      <c r="HO24" s="235"/>
      <c r="HP24" s="235"/>
      <c r="HQ24" s="235"/>
    </row>
    <row r="25" spans="2:225" hidden="1" outlineLevel="1">
      <c r="B25" s="251" t="s">
        <v>408</v>
      </c>
      <c r="C25" s="252" t="str">
        <f>IF(OR($D$5='3. Dropdowns'!$C$8,$D$5='3. Dropdowns'!$C$9,),"Hide","Show")</f>
        <v>Show</v>
      </c>
      <c r="D25" s="236" t="s">
        <v>3139</v>
      </c>
      <c r="E25" s="237"/>
      <c r="F25" s="255"/>
      <c r="G25" s="254"/>
      <c r="H25" s="238"/>
      <c r="I25" s="239"/>
      <c r="J25" s="239"/>
      <c r="K25" s="239"/>
      <c r="L25" s="239"/>
      <c r="M25" s="239"/>
      <c r="N25" s="239"/>
      <c r="O25" s="239"/>
      <c r="P25" s="239"/>
      <c r="Q25" s="239"/>
      <c r="R25" s="239"/>
      <c r="S25" s="239"/>
      <c r="T25" s="239"/>
      <c r="U25" s="239"/>
      <c r="V25" s="239"/>
      <c r="W25" s="239"/>
      <c r="X25" s="238"/>
      <c r="Y25" s="239"/>
      <c r="Z25" s="239"/>
      <c r="AA25" s="239"/>
      <c r="AB25" s="239"/>
      <c r="AC25" s="239"/>
      <c r="AD25" s="239"/>
      <c r="AE25" s="239"/>
      <c r="AF25" s="239"/>
      <c r="AG25" s="239"/>
      <c r="AH25" s="238"/>
      <c r="AI25" s="239"/>
      <c r="AJ25" s="239"/>
      <c r="AK25" s="239"/>
      <c r="AL25" s="239"/>
      <c r="AM25" s="238"/>
      <c r="AN25" s="239"/>
      <c r="AO25" s="239"/>
      <c r="AP25" s="239"/>
      <c r="AQ25" s="238"/>
      <c r="AR25" s="239"/>
      <c r="AS25" s="239"/>
      <c r="AT25" s="239"/>
      <c r="AU25" s="239"/>
      <c r="AV25" s="239"/>
      <c r="AW25" s="239"/>
      <c r="AX25" s="239"/>
      <c r="AY25" s="239"/>
      <c r="AZ25" s="238"/>
      <c r="BA25" s="239"/>
      <c r="BB25" s="239"/>
      <c r="BC25" s="239"/>
      <c r="BD25" s="239"/>
      <c r="BE25" s="239"/>
      <c r="BF25" s="239"/>
      <c r="BG25" s="239"/>
      <c r="BH25" s="239"/>
      <c r="BI25" s="239"/>
      <c r="BJ25" s="239"/>
      <c r="BK25" s="239"/>
      <c r="BL25" s="239"/>
      <c r="BM25" s="239"/>
      <c r="BN25" s="239"/>
      <c r="BO25" s="239"/>
      <c r="BP25" s="238"/>
      <c r="BQ25" s="239"/>
      <c r="BR25" s="239"/>
      <c r="BS25" s="239"/>
      <c r="BT25" s="239"/>
      <c r="BU25" s="239"/>
      <c r="BV25" s="239"/>
      <c r="BW25" s="239"/>
      <c r="BX25" s="239"/>
      <c r="BY25" s="239"/>
      <c r="BZ25" s="239"/>
      <c r="CA25" s="239"/>
      <c r="CB25" s="239"/>
      <c r="CC25" s="239"/>
      <c r="CD25" s="239"/>
      <c r="CE25" s="239"/>
      <c r="CF25" s="238"/>
      <c r="CG25" s="239"/>
      <c r="CH25" s="239"/>
      <c r="CI25" s="239"/>
      <c r="CJ25" s="239"/>
      <c r="CK25" s="239"/>
      <c r="CL25" s="239"/>
      <c r="CM25" s="239"/>
      <c r="CN25" s="239"/>
      <c r="CO25" s="239"/>
      <c r="CP25" s="239"/>
      <c r="CQ25" s="239"/>
      <c r="CR25" s="239"/>
      <c r="CS25" s="238"/>
      <c r="CT25" s="239"/>
      <c r="CU25" s="239"/>
      <c r="CV25" s="239"/>
      <c r="CW25" s="239"/>
      <c r="CX25" s="239"/>
      <c r="CY25" s="239"/>
      <c r="CZ25" s="239"/>
      <c r="DA25" s="239"/>
      <c r="DB25" s="239"/>
      <c r="DC25" s="239"/>
      <c r="DD25" s="239"/>
      <c r="DE25" s="239"/>
      <c r="DF25" s="238"/>
      <c r="DG25" s="239"/>
      <c r="DH25" s="239"/>
      <c r="DI25" s="239"/>
      <c r="DJ25" s="239"/>
      <c r="DK25" s="239"/>
      <c r="DL25" s="239"/>
      <c r="DM25" s="239"/>
      <c r="DN25" s="239"/>
      <c r="DO25" s="239"/>
      <c r="DP25" s="239"/>
      <c r="DQ25" s="239"/>
      <c r="DR25" s="238"/>
      <c r="DS25" s="239"/>
      <c r="DT25" s="239"/>
      <c r="DU25" s="239"/>
      <c r="DV25" s="238"/>
      <c r="DW25" s="239"/>
      <c r="DX25" s="239"/>
      <c r="DY25" s="239"/>
      <c r="DZ25" s="239"/>
      <c r="EA25" s="239"/>
      <c r="EB25" s="239"/>
      <c r="EC25" s="239"/>
      <c r="ED25" s="239"/>
      <c r="EE25" s="239"/>
      <c r="EF25" s="238"/>
      <c r="EG25" s="239"/>
      <c r="EH25" s="239"/>
      <c r="EI25" s="239"/>
      <c r="EJ25" s="238"/>
      <c r="EK25" s="239"/>
      <c r="EL25" s="238"/>
      <c r="EM25" s="239"/>
      <c r="EN25" s="239"/>
      <c r="EO25" s="239"/>
      <c r="EP25" s="239"/>
      <c r="EQ25" s="239"/>
      <c r="ER25" s="239"/>
      <c r="ES25" s="239"/>
      <c r="ET25" s="239"/>
      <c r="EU25" s="239"/>
      <c r="EV25" s="239"/>
      <c r="EW25" s="239"/>
      <c r="EX25" s="238"/>
      <c r="EY25" s="239"/>
      <c r="EZ25" s="239"/>
      <c r="FA25" s="239"/>
      <c r="FB25" s="239"/>
      <c r="FC25" s="239"/>
      <c r="FD25" s="239"/>
      <c r="FE25" s="239"/>
      <c r="FF25" s="239"/>
      <c r="FG25" s="239"/>
      <c r="FH25" s="239"/>
      <c r="FI25" s="239"/>
      <c r="FJ25" s="239"/>
      <c r="FK25" s="239"/>
      <c r="FL25" s="239"/>
      <c r="FM25" s="239"/>
      <c r="FN25" s="239"/>
      <c r="FO25" s="238"/>
      <c r="FP25" s="239"/>
      <c r="FQ25" s="239"/>
      <c r="FR25" s="239"/>
      <c r="FS25" s="239"/>
      <c r="FT25" s="239"/>
      <c r="FU25" s="239"/>
      <c r="FV25" s="239"/>
      <c r="FW25" s="239"/>
      <c r="FX25" s="239"/>
      <c r="FY25" s="239"/>
      <c r="FZ25" s="238"/>
      <c r="GA25" s="240"/>
      <c r="GB25" s="240"/>
      <c r="GC25" s="238"/>
      <c r="GD25" s="240"/>
      <c r="GE25" s="240"/>
      <c r="GF25" s="240"/>
      <c r="GG25" s="240"/>
      <c r="GH25" s="238"/>
      <c r="GI25" s="240"/>
      <c r="GJ25" s="240"/>
      <c r="GK25" s="240"/>
      <c r="GL25" s="240"/>
      <c r="GM25" s="238"/>
      <c r="GN25" s="240"/>
      <c r="GO25" s="240"/>
      <c r="GP25" s="240"/>
      <c r="GQ25" s="240"/>
      <c r="GR25" s="240"/>
      <c r="GS25" s="240"/>
      <c r="GT25" s="240"/>
      <c r="GU25" s="240"/>
      <c r="GV25" s="240"/>
      <c r="GW25" s="240"/>
      <c r="GX25" s="240"/>
      <c r="GY25" s="240"/>
      <c r="GZ25" s="240"/>
      <c r="HA25" s="240"/>
      <c r="HB25" s="240"/>
      <c r="HC25" s="240"/>
      <c r="HD25" s="238"/>
      <c r="HE25" s="240"/>
      <c r="HF25" s="240"/>
      <c r="HG25" s="240"/>
      <c r="HH25" s="240"/>
      <c r="HI25" s="240"/>
      <c r="HJ25" s="238"/>
      <c r="HK25" s="240"/>
      <c r="HL25" s="238"/>
      <c r="HM25" s="241"/>
      <c r="HN25" s="235"/>
      <c r="HO25" s="235"/>
      <c r="HP25" s="235"/>
      <c r="HQ25" s="235"/>
    </row>
    <row r="26" spans="2:225" hidden="1" outlineLevel="1">
      <c r="B26" s="256"/>
      <c r="C26" s="247" t="s">
        <v>116</v>
      </c>
      <c r="D26" s="236" t="s">
        <v>3140</v>
      </c>
      <c r="E26" s="248"/>
      <c r="F26" s="255" t="str">
        <f>IF(E26='3. Dropdowns'!C48,"","Execution")</f>
        <v>Execution</v>
      </c>
      <c r="G26" s="254"/>
      <c r="H26" s="238"/>
      <c r="I26" s="239"/>
      <c r="J26" s="239"/>
      <c r="K26" s="239"/>
      <c r="L26" s="239"/>
      <c r="M26" s="239"/>
      <c r="N26" s="239"/>
      <c r="O26" s="240"/>
      <c r="P26" s="240"/>
      <c r="Q26" s="240"/>
      <c r="R26" s="240"/>
      <c r="S26" s="240"/>
      <c r="T26" s="240" t="s">
        <v>890</v>
      </c>
      <c r="U26" s="240"/>
      <c r="V26" s="240"/>
      <c r="W26" s="240"/>
      <c r="X26" s="238"/>
      <c r="Y26" s="240"/>
      <c r="Z26" s="240"/>
      <c r="AA26" s="240"/>
      <c r="AB26" s="240"/>
      <c r="AC26" s="240"/>
      <c r="AD26" s="240"/>
      <c r="AE26" s="240"/>
      <c r="AF26" s="240"/>
      <c r="AG26" s="240"/>
      <c r="AH26" s="238"/>
      <c r="AI26" s="240"/>
      <c r="AJ26" s="240"/>
      <c r="AK26" s="240"/>
      <c r="AL26" s="240"/>
      <c r="AM26" s="238"/>
      <c r="AN26" s="240"/>
      <c r="AO26" s="240"/>
      <c r="AP26" s="240"/>
      <c r="AQ26" s="238"/>
      <c r="AR26" s="240"/>
      <c r="AS26" s="240"/>
      <c r="AT26" s="240"/>
      <c r="AU26" s="240"/>
      <c r="AV26" s="240"/>
      <c r="AW26" s="240"/>
      <c r="AX26" s="240"/>
      <c r="AY26" s="240"/>
      <c r="AZ26" s="238"/>
      <c r="BA26" s="240"/>
      <c r="BB26" s="240"/>
      <c r="BC26" s="240"/>
      <c r="BD26" s="240"/>
      <c r="BE26" s="240"/>
      <c r="BF26" s="240"/>
      <c r="BG26" s="240"/>
      <c r="BH26" s="240"/>
      <c r="BI26" s="240"/>
      <c r="BJ26" s="240"/>
      <c r="BK26" s="240"/>
      <c r="BL26" s="240"/>
      <c r="BM26" s="240"/>
      <c r="BN26" s="240"/>
      <c r="BO26" s="240"/>
      <c r="BP26" s="238"/>
      <c r="BQ26" s="240"/>
      <c r="BR26" s="240"/>
      <c r="BS26" s="240"/>
      <c r="BT26" s="240"/>
      <c r="BU26" s="240"/>
      <c r="BV26" s="240"/>
      <c r="BW26" s="240"/>
      <c r="BX26" s="240"/>
      <c r="BY26" s="240"/>
      <c r="BZ26" s="240"/>
      <c r="CA26" s="240"/>
      <c r="CB26" s="240"/>
      <c r="CC26" s="240"/>
      <c r="CD26" s="240"/>
      <c r="CE26" s="240"/>
      <c r="CF26" s="238"/>
      <c r="CG26" s="240"/>
      <c r="CH26" s="240"/>
      <c r="CI26" s="240"/>
      <c r="CJ26" s="240"/>
      <c r="CK26" s="240"/>
      <c r="CL26" s="240"/>
      <c r="CM26" s="240"/>
      <c r="CN26" s="240"/>
      <c r="CO26" s="240"/>
      <c r="CP26" s="240"/>
      <c r="CQ26" s="240"/>
      <c r="CR26" s="240"/>
      <c r="CS26" s="238"/>
      <c r="CT26" s="240"/>
      <c r="CU26" s="240"/>
      <c r="CV26" s="240"/>
      <c r="CW26" s="240"/>
      <c r="CX26" s="240"/>
      <c r="CY26" s="240"/>
      <c r="CZ26" s="240"/>
      <c r="DA26" s="240"/>
      <c r="DB26" s="240"/>
      <c r="DC26" s="240"/>
      <c r="DD26" s="240"/>
      <c r="DE26" s="240"/>
      <c r="DF26" s="238"/>
      <c r="DG26" s="240"/>
      <c r="DH26" s="240"/>
      <c r="DI26" s="240"/>
      <c r="DJ26" s="240"/>
      <c r="DK26" s="240"/>
      <c r="DL26" s="240"/>
      <c r="DM26" s="240"/>
      <c r="DN26" s="240"/>
      <c r="DO26" s="240"/>
      <c r="DP26" s="240"/>
      <c r="DQ26" s="240"/>
      <c r="DR26" s="238"/>
      <c r="DS26" s="240"/>
      <c r="DT26" s="240"/>
      <c r="DU26" s="240"/>
      <c r="DV26" s="238"/>
      <c r="DW26" s="240"/>
      <c r="DX26" s="240"/>
      <c r="DY26" s="240"/>
      <c r="DZ26" s="240"/>
      <c r="EA26" s="240"/>
      <c r="EB26" s="240"/>
      <c r="EC26" s="240"/>
      <c r="ED26" s="240"/>
      <c r="EE26" s="240"/>
      <c r="EF26" s="238"/>
      <c r="EG26" s="240"/>
      <c r="EH26" s="240"/>
      <c r="EI26" s="240"/>
      <c r="EJ26" s="238"/>
      <c r="EK26" s="240"/>
      <c r="EL26" s="238"/>
      <c r="EM26" s="240"/>
      <c r="EN26" s="240"/>
      <c r="EO26" s="240"/>
      <c r="EP26" s="240"/>
      <c r="EQ26" s="240"/>
      <c r="ER26" s="240"/>
      <c r="ES26" s="240"/>
      <c r="ET26" s="240"/>
      <c r="EU26" s="240"/>
      <c r="EV26" s="240"/>
      <c r="EW26" s="240"/>
      <c r="EX26" s="238"/>
      <c r="EY26" s="240"/>
      <c r="EZ26" s="240"/>
      <c r="FA26" s="240"/>
      <c r="FB26" s="240"/>
      <c r="FC26" s="240"/>
      <c r="FD26" s="240"/>
      <c r="FE26" s="240"/>
      <c r="FF26" s="240"/>
      <c r="FG26" s="240"/>
      <c r="FH26" s="240"/>
      <c r="FI26" s="240"/>
      <c r="FJ26" s="240"/>
      <c r="FK26" s="240"/>
      <c r="FL26" s="240"/>
      <c r="FM26" s="240"/>
      <c r="FN26" s="240"/>
      <c r="FO26" s="238"/>
      <c r="FP26" s="240"/>
      <c r="FQ26" s="240"/>
      <c r="FR26" s="240"/>
      <c r="FS26" s="240"/>
      <c r="FT26" s="240"/>
      <c r="FU26" s="240"/>
      <c r="FV26" s="240"/>
      <c r="FW26" s="240"/>
      <c r="FX26" s="240"/>
      <c r="FY26" s="240"/>
      <c r="FZ26" s="238"/>
      <c r="GA26" s="240"/>
      <c r="GB26" s="240"/>
      <c r="GC26" s="238"/>
      <c r="GD26" s="240"/>
      <c r="GE26" s="240"/>
      <c r="GF26" s="240"/>
      <c r="GG26" s="240"/>
      <c r="GH26" s="238"/>
      <c r="GI26" s="240"/>
      <c r="GJ26" s="240"/>
      <c r="GK26" s="240"/>
      <c r="GL26" s="240"/>
      <c r="GM26" s="238"/>
      <c r="GN26" s="240"/>
      <c r="GO26" s="240"/>
      <c r="GP26" s="240"/>
      <c r="GQ26" s="240"/>
      <c r="GR26" s="240"/>
      <c r="GS26" s="240"/>
      <c r="GT26" s="240"/>
      <c r="GU26" s="240"/>
      <c r="GV26" s="240"/>
      <c r="GW26" s="240"/>
      <c r="GX26" s="240"/>
      <c r="GY26" s="240"/>
      <c r="GZ26" s="240"/>
      <c r="HA26" s="240"/>
      <c r="HB26" s="240"/>
      <c r="HC26" s="240"/>
      <c r="HD26" s="238"/>
      <c r="HE26" s="240"/>
      <c r="HF26" s="240"/>
      <c r="HG26" s="240"/>
      <c r="HH26" s="240"/>
      <c r="HI26" s="240"/>
      <c r="HJ26" s="238"/>
      <c r="HK26" s="240"/>
      <c r="HL26" s="238"/>
      <c r="HM26" s="241"/>
      <c r="HN26" s="235"/>
      <c r="HO26" s="235"/>
      <c r="HP26" s="235"/>
      <c r="HQ26" s="235"/>
    </row>
    <row r="27" spans="2:225" hidden="1" outlineLevel="1">
      <c r="B27" s="256"/>
      <c r="C27" s="247" t="s">
        <v>116</v>
      </c>
      <c r="D27" s="236" t="s">
        <v>3141</v>
      </c>
      <c r="E27" s="248"/>
      <c r="F27" s="253" t="str">
        <f>IF(E27='3. Dropdowns'!C51,"",IF(E27='3. Dropdowns'!C52,"Execution",IF(OR(E27='3. Dropdowns'!C54,E27='3. Dropdowns'!C56),"Submittals, Execution","Submittals, Execution")))</f>
        <v>Submittals, Execution</v>
      </c>
      <c r="G27" s="254"/>
      <c r="H27" s="238"/>
      <c r="I27" s="239"/>
      <c r="J27" s="239"/>
      <c r="K27" s="239"/>
      <c r="L27" s="239"/>
      <c r="M27" s="239"/>
      <c r="N27" s="239"/>
      <c r="O27" s="240"/>
      <c r="P27" s="240"/>
      <c r="Q27" s="240"/>
      <c r="R27" s="240"/>
      <c r="S27" s="240"/>
      <c r="T27" s="240" t="s">
        <v>890</v>
      </c>
      <c r="U27" s="240"/>
      <c r="V27" s="240"/>
      <c r="W27" s="240"/>
      <c r="X27" s="238"/>
      <c r="Y27" s="240"/>
      <c r="Z27" s="240"/>
      <c r="AA27" s="240"/>
      <c r="AB27" s="240"/>
      <c r="AC27" s="240"/>
      <c r="AD27" s="240"/>
      <c r="AE27" s="240"/>
      <c r="AF27" s="240"/>
      <c r="AG27" s="240"/>
      <c r="AH27" s="238"/>
      <c r="AI27" s="240"/>
      <c r="AJ27" s="240"/>
      <c r="AK27" s="240"/>
      <c r="AL27" s="240"/>
      <c r="AM27" s="238"/>
      <c r="AN27" s="240"/>
      <c r="AO27" s="240"/>
      <c r="AP27" s="240"/>
      <c r="AQ27" s="238"/>
      <c r="AR27" s="240"/>
      <c r="AS27" s="240"/>
      <c r="AT27" s="240"/>
      <c r="AU27" s="240"/>
      <c r="AV27" s="240"/>
      <c r="AW27" s="240"/>
      <c r="AX27" s="240"/>
      <c r="AY27" s="240"/>
      <c r="AZ27" s="238"/>
      <c r="BA27" s="240"/>
      <c r="BB27" s="240"/>
      <c r="BC27" s="240"/>
      <c r="BD27" s="240"/>
      <c r="BE27" s="240"/>
      <c r="BF27" s="240"/>
      <c r="BG27" s="240"/>
      <c r="BH27" s="240"/>
      <c r="BI27" s="240"/>
      <c r="BJ27" s="240"/>
      <c r="BK27" s="240"/>
      <c r="BL27" s="240"/>
      <c r="BM27" s="240"/>
      <c r="BN27" s="240"/>
      <c r="BO27" s="240"/>
      <c r="BP27" s="238"/>
      <c r="BQ27" s="240"/>
      <c r="BR27" s="240"/>
      <c r="BS27" s="240"/>
      <c r="BT27" s="240"/>
      <c r="BU27" s="240"/>
      <c r="BV27" s="240"/>
      <c r="BW27" s="240"/>
      <c r="BX27" s="240"/>
      <c r="BY27" s="240"/>
      <c r="BZ27" s="240"/>
      <c r="CA27" s="240"/>
      <c r="CB27" s="240"/>
      <c r="CC27" s="240"/>
      <c r="CD27" s="240"/>
      <c r="CE27" s="240"/>
      <c r="CF27" s="238"/>
      <c r="CG27" s="240"/>
      <c r="CH27" s="240"/>
      <c r="CI27" s="240"/>
      <c r="CJ27" s="240"/>
      <c r="CK27" s="240"/>
      <c r="CL27" s="240"/>
      <c r="CM27" s="240"/>
      <c r="CN27" s="240"/>
      <c r="CO27" s="240"/>
      <c r="CP27" s="240"/>
      <c r="CQ27" s="240"/>
      <c r="CR27" s="240"/>
      <c r="CS27" s="238"/>
      <c r="CT27" s="240"/>
      <c r="CU27" s="240"/>
      <c r="CV27" s="240"/>
      <c r="CW27" s="240"/>
      <c r="CX27" s="240"/>
      <c r="CY27" s="240"/>
      <c r="CZ27" s="240"/>
      <c r="DA27" s="240"/>
      <c r="DB27" s="240"/>
      <c r="DC27" s="240"/>
      <c r="DD27" s="240"/>
      <c r="DE27" s="240"/>
      <c r="DF27" s="238"/>
      <c r="DG27" s="240" t="s">
        <v>890</v>
      </c>
      <c r="DH27" s="240"/>
      <c r="DI27" s="240"/>
      <c r="DJ27" s="240"/>
      <c r="DK27" s="240"/>
      <c r="DL27" s="240"/>
      <c r="DM27" s="240"/>
      <c r="DN27" s="240"/>
      <c r="DO27" s="240"/>
      <c r="DP27" s="240"/>
      <c r="DQ27" s="240"/>
      <c r="DR27" s="238"/>
      <c r="DS27" s="240"/>
      <c r="DT27" s="240"/>
      <c r="DU27" s="240"/>
      <c r="DV27" s="238"/>
      <c r="DW27" s="240"/>
      <c r="DX27" s="240"/>
      <c r="DY27" s="240"/>
      <c r="DZ27" s="240"/>
      <c r="EA27" s="240"/>
      <c r="EB27" s="240"/>
      <c r="EC27" s="240"/>
      <c r="ED27" s="240"/>
      <c r="EE27" s="240" t="s">
        <v>890</v>
      </c>
      <c r="EF27" s="238"/>
      <c r="EG27" s="240"/>
      <c r="EH27" s="240"/>
      <c r="EI27" s="240"/>
      <c r="EJ27" s="238"/>
      <c r="EK27" s="240"/>
      <c r="EL27" s="238"/>
      <c r="EM27" s="240"/>
      <c r="EN27" s="240"/>
      <c r="EO27" s="240"/>
      <c r="EP27" s="240"/>
      <c r="EQ27" s="240"/>
      <c r="ER27" s="240"/>
      <c r="ES27" s="240"/>
      <c r="ET27" s="240"/>
      <c r="EU27" s="240"/>
      <c r="EV27" s="240"/>
      <c r="EW27" s="240"/>
      <c r="EX27" s="238"/>
      <c r="EY27" s="240"/>
      <c r="EZ27" s="240"/>
      <c r="FA27" s="240"/>
      <c r="FB27" s="240"/>
      <c r="FC27" s="240"/>
      <c r="FD27" s="240"/>
      <c r="FE27" s="240"/>
      <c r="FF27" s="240"/>
      <c r="FG27" s="240"/>
      <c r="FH27" s="240"/>
      <c r="FI27" s="240"/>
      <c r="FJ27" s="240"/>
      <c r="FK27" s="240"/>
      <c r="FL27" s="240"/>
      <c r="FM27" s="240"/>
      <c r="FN27" s="240"/>
      <c r="FO27" s="238"/>
      <c r="FP27" s="240"/>
      <c r="FQ27" s="240"/>
      <c r="FR27" s="240"/>
      <c r="FS27" s="240"/>
      <c r="FT27" s="240"/>
      <c r="FU27" s="240"/>
      <c r="FV27" s="240"/>
      <c r="FW27" s="240"/>
      <c r="FX27" s="240"/>
      <c r="FY27" s="240"/>
      <c r="FZ27" s="238"/>
      <c r="GA27" s="240"/>
      <c r="GB27" s="240"/>
      <c r="GC27" s="238"/>
      <c r="GD27" s="240"/>
      <c r="GE27" s="240"/>
      <c r="GF27" s="240"/>
      <c r="GG27" s="240"/>
      <c r="GH27" s="238"/>
      <c r="GI27" s="240"/>
      <c r="GJ27" s="240"/>
      <c r="GK27" s="240"/>
      <c r="GL27" s="240"/>
      <c r="GM27" s="238" t="s">
        <v>890</v>
      </c>
      <c r="GN27" s="240"/>
      <c r="GO27" s="240"/>
      <c r="GP27" s="240"/>
      <c r="GQ27" s="240"/>
      <c r="GR27" s="240"/>
      <c r="GS27" s="240" t="s">
        <v>890</v>
      </c>
      <c r="GT27" s="240" t="s">
        <v>890</v>
      </c>
      <c r="GU27" s="240" t="s">
        <v>890</v>
      </c>
      <c r="GV27" s="240"/>
      <c r="GW27" s="240"/>
      <c r="GX27" s="240"/>
      <c r="GY27" s="240"/>
      <c r="GZ27" s="240"/>
      <c r="HA27" s="240"/>
      <c r="HB27" s="240"/>
      <c r="HC27" s="240"/>
      <c r="HD27" s="238"/>
      <c r="HE27" s="240"/>
      <c r="HF27" s="240"/>
      <c r="HG27" s="240"/>
      <c r="HH27" s="240"/>
      <c r="HI27" s="240"/>
      <c r="HJ27" s="238"/>
      <c r="HK27" s="240"/>
      <c r="HL27" s="238"/>
      <c r="HM27" s="241"/>
      <c r="HN27" s="235"/>
      <c r="HO27" s="235"/>
      <c r="HP27" s="235"/>
      <c r="HQ27" s="235"/>
    </row>
    <row r="28" spans="2:225" ht="37.5" hidden="1" outlineLevel="2">
      <c r="B28" s="257" t="s">
        <v>2036</v>
      </c>
      <c r="C28" s="258" t="str">
        <f>IF(OR(E27='3. Dropdowns'!C51,E27='3. Dropdowns'!C53,E27='3. Dropdowns'!C54,E27='3. Dropdowns'!C57),"Hide","Show")</f>
        <v>Show</v>
      </c>
      <c r="D28" s="236" t="s">
        <v>3142</v>
      </c>
      <c r="E28" s="248"/>
      <c r="F28" s="255" t="str">
        <f>IF(E28='3. Dropdowns'!C60,"","Execution")</f>
        <v>Execution</v>
      </c>
      <c r="G28" s="254"/>
      <c r="H28" s="238"/>
      <c r="I28" s="239"/>
      <c r="J28" s="239"/>
      <c r="K28" s="239"/>
      <c r="L28" s="239"/>
      <c r="M28" s="239"/>
      <c r="N28" s="239"/>
      <c r="O28" s="240"/>
      <c r="P28" s="240"/>
      <c r="Q28" s="240"/>
      <c r="R28" s="240"/>
      <c r="S28" s="240"/>
      <c r="T28" s="240" t="s">
        <v>890</v>
      </c>
      <c r="U28" s="240"/>
      <c r="V28" s="240"/>
      <c r="W28" s="240"/>
      <c r="X28" s="238"/>
      <c r="Y28" s="240"/>
      <c r="Z28" s="240"/>
      <c r="AA28" s="240"/>
      <c r="AB28" s="240"/>
      <c r="AC28" s="240"/>
      <c r="AD28" s="240"/>
      <c r="AE28" s="240"/>
      <c r="AF28" s="240"/>
      <c r="AG28" s="240"/>
      <c r="AH28" s="238"/>
      <c r="AI28" s="240"/>
      <c r="AJ28" s="240"/>
      <c r="AK28" s="240"/>
      <c r="AL28" s="240"/>
      <c r="AM28" s="238"/>
      <c r="AN28" s="240"/>
      <c r="AO28" s="240"/>
      <c r="AP28" s="240"/>
      <c r="AQ28" s="238"/>
      <c r="AR28" s="240"/>
      <c r="AS28" s="240"/>
      <c r="AT28" s="240"/>
      <c r="AU28" s="240"/>
      <c r="AV28" s="240"/>
      <c r="AW28" s="240"/>
      <c r="AX28" s="240"/>
      <c r="AY28" s="240"/>
      <c r="AZ28" s="238"/>
      <c r="BA28" s="240"/>
      <c r="BB28" s="240"/>
      <c r="BC28" s="240"/>
      <c r="BD28" s="240"/>
      <c r="BE28" s="240"/>
      <c r="BF28" s="240"/>
      <c r="BG28" s="240"/>
      <c r="BH28" s="240"/>
      <c r="BI28" s="240"/>
      <c r="BJ28" s="240"/>
      <c r="BK28" s="240"/>
      <c r="BL28" s="240"/>
      <c r="BM28" s="240"/>
      <c r="BN28" s="240"/>
      <c r="BO28" s="240"/>
      <c r="BP28" s="238"/>
      <c r="BQ28" s="240"/>
      <c r="BR28" s="240"/>
      <c r="BS28" s="240"/>
      <c r="BT28" s="240"/>
      <c r="BU28" s="240"/>
      <c r="BV28" s="240"/>
      <c r="BW28" s="240"/>
      <c r="BX28" s="240"/>
      <c r="BY28" s="240"/>
      <c r="BZ28" s="240"/>
      <c r="CA28" s="240"/>
      <c r="CB28" s="240"/>
      <c r="CC28" s="240"/>
      <c r="CD28" s="240"/>
      <c r="CE28" s="240"/>
      <c r="CF28" s="238"/>
      <c r="CG28" s="240"/>
      <c r="CH28" s="240"/>
      <c r="CI28" s="240"/>
      <c r="CJ28" s="240"/>
      <c r="CK28" s="240"/>
      <c r="CL28" s="240"/>
      <c r="CM28" s="240"/>
      <c r="CN28" s="240"/>
      <c r="CO28" s="240"/>
      <c r="CP28" s="240"/>
      <c r="CQ28" s="240"/>
      <c r="CR28" s="240"/>
      <c r="CS28" s="238"/>
      <c r="CT28" s="240"/>
      <c r="CU28" s="240"/>
      <c r="CV28" s="240"/>
      <c r="CW28" s="240"/>
      <c r="CX28" s="240"/>
      <c r="CY28" s="240"/>
      <c r="CZ28" s="240"/>
      <c r="DA28" s="240"/>
      <c r="DB28" s="240"/>
      <c r="DC28" s="240"/>
      <c r="DD28" s="240"/>
      <c r="DE28" s="240"/>
      <c r="DF28" s="238"/>
      <c r="DG28" s="240" t="s">
        <v>890</v>
      </c>
      <c r="DH28" s="240"/>
      <c r="DI28" s="240"/>
      <c r="DJ28" s="240"/>
      <c r="DK28" s="240"/>
      <c r="DL28" s="240"/>
      <c r="DM28" s="240"/>
      <c r="DN28" s="240"/>
      <c r="DO28" s="240"/>
      <c r="DP28" s="240"/>
      <c r="DQ28" s="240"/>
      <c r="DR28" s="238"/>
      <c r="DS28" s="240"/>
      <c r="DT28" s="240"/>
      <c r="DU28" s="240"/>
      <c r="DV28" s="238"/>
      <c r="DW28" s="240"/>
      <c r="DX28" s="240"/>
      <c r="DY28" s="240"/>
      <c r="DZ28" s="240"/>
      <c r="EA28" s="240"/>
      <c r="EB28" s="240"/>
      <c r="EC28" s="240"/>
      <c r="ED28" s="240"/>
      <c r="EE28" s="240"/>
      <c r="EF28" s="238"/>
      <c r="EG28" s="240"/>
      <c r="EH28" s="240"/>
      <c r="EI28" s="240"/>
      <c r="EJ28" s="238"/>
      <c r="EK28" s="240"/>
      <c r="EL28" s="238"/>
      <c r="EM28" s="240"/>
      <c r="EN28" s="240"/>
      <c r="EO28" s="240"/>
      <c r="EP28" s="240"/>
      <c r="EQ28" s="240"/>
      <c r="ER28" s="240"/>
      <c r="ES28" s="240"/>
      <c r="ET28" s="240"/>
      <c r="EU28" s="240"/>
      <c r="EV28" s="240"/>
      <c r="EW28" s="240"/>
      <c r="EX28" s="238"/>
      <c r="EY28" s="240"/>
      <c r="EZ28" s="240"/>
      <c r="FA28" s="240"/>
      <c r="FB28" s="240"/>
      <c r="FC28" s="240"/>
      <c r="FD28" s="240"/>
      <c r="FE28" s="240"/>
      <c r="FF28" s="240"/>
      <c r="FG28" s="240"/>
      <c r="FH28" s="240"/>
      <c r="FI28" s="240"/>
      <c r="FJ28" s="240"/>
      <c r="FK28" s="240"/>
      <c r="FL28" s="240"/>
      <c r="FM28" s="240"/>
      <c r="FN28" s="240"/>
      <c r="FO28" s="238"/>
      <c r="FP28" s="240"/>
      <c r="FQ28" s="240"/>
      <c r="FR28" s="240"/>
      <c r="FS28" s="240"/>
      <c r="FT28" s="240"/>
      <c r="FU28" s="240"/>
      <c r="FV28" s="240"/>
      <c r="FW28" s="240"/>
      <c r="FX28" s="240"/>
      <c r="FY28" s="240"/>
      <c r="FZ28" s="238"/>
      <c r="GA28" s="240"/>
      <c r="GB28" s="240"/>
      <c r="GC28" s="238"/>
      <c r="GD28" s="240"/>
      <c r="GE28" s="240"/>
      <c r="GF28" s="240"/>
      <c r="GG28" s="240"/>
      <c r="GH28" s="238"/>
      <c r="GI28" s="240"/>
      <c r="GJ28" s="240"/>
      <c r="GK28" s="240"/>
      <c r="GL28" s="240"/>
      <c r="GM28" s="238"/>
      <c r="GN28" s="240"/>
      <c r="GO28" s="240"/>
      <c r="GP28" s="240"/>
      <c r="GQ28" s="240"/>
      <c r="GR28" s="240"/>
      <c r="GS28" s="240"/>
      <c r="GT28" s="240"/>
      <c r="GU28" s="240"/>
      <c r="GV28" s="240"/>
      <c r="GW28" s="240"/>
      <c r="GX28" s="240"/>
      <c r="GY28" s="240"/>
      <c r="GZ28" s="240"/>
      <c r="HA28" s="240"/>
      <c r="HB28" s="240"/>
      <c r="HC28" s="240"/>
      <c r="HD28" s="238"/>
      <c r="HE28" s="240"/>
      <c r="HF28" s="240"/>
      <c r="HG28" s="240"/>
      <c r="HH28" s="240"/>
      <c r="HI28" s="240"/>
      <c r="HJ28" s="238"/>
      <c r="HK28" s="240"/>
      <c r="HL28" s="238"/>
      <c r="HM28" s="241"/>
      <c r="HN28" s="235"/>
      <c r="HO28" s="235"/>
      <c r="HP28" s="235"/>
      <c r="HQ28" s="235"/>
    </row>
    <row r="29" spans="2:225" hidden="1" outlineLevel="2">
      <c r="B29" s="257" t="s">
        <v>2037</v>
      </c>
      <c r="C29" s="258" t="str">
        <f>IF(OR(E27='3. Dropdowns'!C51,E27='3. Dropdowns'!C52,E27='3. Dropdowns'!C54,E27='3. Dropdowns'!C56),"Hide","Show")</f>
        <v>Show</v>
      </c>
      <c r="D29" s="236" t="s">
        <v>3143</v>
      </c>
      <c r="E29" s="248"/>
      <c r="F29" s="253" t="str">
        <f>IF(E29='3. Dropdowns'!C60,"","Submittals, Execution")</f>
        <v>Submittals, Execution</v>
      </c>
      <c r="G29" s="254"/>
      <c r="H29" s="238"/>
      <c r="I29" s="239"/>
      <c r="J29" s="239"/>
      <c r="K29" s="239"/>
      <c r="L29" s="239"/>
      <c r="M29" s="239"/>
      <c r="N29" s="239"/>
      <c r="O29" s="240"/>
      <c r="P29" s="240"/>
      <c r="Q29" s="240"/>
      <c r="R29" s="240"/>
      <c r="S29" s="240"/>
      <c r="T29" s="240" t="s">
        <v>890</v>
      </c>
      <c r="U29" s="240"/>
      <c r="V29" s="240"/>
      <c r="W29" s="240"/>
      <c r="X29" s="238"/>
      <c r="Y29" s="240"/>
      <c r="Z29" s="240"/>
      <c r="AA29" s="240"/>
      <c r="AB29" s="240"/>
      <c r="AC29" s="240"/>
      <c r="AD29" s="240"/>
      <c r="AE29" s="240"/>
      <c r="AF29" s="240"/>
      <c r="AG29" s="240"/>
      <c r="AH29" s="238"/>
      <c r="AI29" s="240"/>
      <c r="AJ29" s="240"/>
      <c r="AK29" s="240"/>
      <c r="AL29" s="240"/>
      <c r="AM29" s="238"/>
      <c r="AN29" s="240"/>
      <c r="AO29" s="240"/>
      <c r="AP29" s="240"/>
      <c r="AQ29" s="238"/>
      <c r="AR29" s="240"/>
      <c r="AS29" s="240"/>
      <c r="AT29" s="240"/>
      <c r="AU29" s="240"/>
      <c r="AV29" s="240"/>
      <c r="AW29" s="240"/>
      <c r="AX29" s="240"/>
      <c r="AY29" s="240"/>
      <c r="AZ29" s="238"/>
      <c r="BA29" s="240"/>
      <c r="BB29" s="240"/>
      <c r="BC29" s="240"/>
      <c r="BD29" s="240"/>
      <c r="BE29" s="240"/>
      <c r="BF29" s="240"/>
      <c r="BG29" s="240"/>
      <c r="BH29" s="240"/>
      <c r="BI29" s="240"/>
      <c r="BJ29" s="240"/>
      <c r="BK29" s="240"/>
      <c r="BL29" s="240"/>
      <c r="BM29" s="240"/>
      <c r="BN29" s="240"/>
      <c r="BO29" s="240"/>
      <c r="BP29" s="238"/>
      <c r="BQ29" s="240"/>
      <c r="BR29" s="240"/>
      <c r="BS29" s="240"/>
      <c r="BT29" s="240"/>
      <c r="BU29" s="240"/>
      <c r="BV29" s="240"/>
      <c r="BW29" s="240"/>
      <c r="BX29" s="240"/>
      <c r="BY29" s="240"/>
      <c r="BZ29" s="240"/>
      <c r="CA29" s="240"/>
      <c r="CB29" s="240"/>
      <c r="CC29" s="240"/>
      <c r="CD29" s="240"/>
      <c r="CE29" s="240"/>
      <c r="CF29" s="238"/>
      <c r="CG29" s="240"/>
      <c r="CH29" s="240"/>
      <c r="CI29" s="240"/>
      <c r="CJ29" s="240"/>
      <c r="CK29" s="240"/>
      <c r="CL29" s="240"/>
      <c r="CM29" s="240"/>
      <c r="CN29" s="240"/>
      <c r="CO29" s="240"/>
      <c r="CP29" s="240"/>
      <c r="CQ29" s="240"/>
      <c r="CR29" s="240"/>
      <c r="CS29" s="238"/>
      <c r="CT29" s="240"/>
      <c r="CU29" s="240"/>
      <c r="CV29" s="240"/>
      <c r="CW29" s="240"/>
      <c r="CX29" s="240"/>
      <c r="CY29" s="240"/>
      <c r="CZ29" s="240"/>
      <c r="DA29" s="240"/>
      <c r="DB29" s="240"/>
      <c r="DC29" s="240"/>
      <c r="DD29" s="240"/>
      <c r="DE29" s="240"/>
      <c r="DF29" s="238"/>
      <c r="DG29" s="240"/>
      <c r="DH29" s="240"/>
      <c r="DI29" s="240"/>
      <c r="DJ29" s="240"/>
      <c r="DK29" s="240"/>
      <c r="DL29" s="240"/>
      <c r="DM29" s="240"/>
      <c r="DN29" s="240"/>
      <c r="DO29" s="240"/>
      <c r="DP29" s="240"/>
      <c r="DQ29" s="240"/>
      <c r="DR29" s="238"/>
      <c r="DS29" s="240"/>
      <c r="DT29" s="240"/>
      <c r="DU29" s="240"/>
      <c r="DV29" s="238"/>
      <c r="DW29" s="240"/>
      <c r="DX29" s="240"/>
      <c r="DY29" s="240"/>
      <c r="DZ29" s="240"/>
      <c r="EA29" s="240"/>
      <c r="EB29" s="240"/>
      <c r="EC29" s="240"/>
      <c r="ED29" s="240"/>
      <c r="EE29" s="240" t="s">
        <v>890</v>
      </c>
      <c r="EF29" s="238"/>
      <c r="EG29" s="240"/>
      <c r="EH29" s="240"/>
      <c r="EI29" s="240"/>
      <c r="EJ29" s="238"/>
      <c r="EK29" s="240"/>
      <c r="EL29" s="238"/>
      <c r="EM29" s="240"/>
      <c r="EN29" s="240"/>
      <c r="EO29" s="240"/>
      <c r="EP29" s="240"/>
      <c r="EQ29" s="240"/>
      <c r="ER29" s="240"/>
      <c r="ES29" s="240"/>
      <c r="ET29" s="240"/>
      <c r="EU29" s="240"/>
      <c r="EV29" s="240"/>
      <c r="EW29" s="240"/>
      <c r="EX29" s="238"/>
      <c r="EY29" s="240"/>
      <c r="EZ29" s="240"/>
      <c r="FA29" s="240"/>
      <c r="FB29" s="240"/>
      <c r="FC29" s="240"/>
      <c r="FD29" s="240"/>
      <c r="FE29" s="240"/>
      <c r="FF29" s="240"/>
      <c r="FG29" s="240"/>
      <c r="FH29" s="240"/>
      <c r="FI29" s="240"/>
      <c r="FJ29" s="240"/>
      <c r="FK29" s="240"/>
      <c r="FL29" s="240"/>
      <c r="FM29" s="240"/>
      <c r="FN29" s="240"/>
      <c r="FO29" s="238"/>
      <c r="FP29" s="240"/>
      <c r="FQ29" s="240"/>
      <c r="FR29" s="240"/>
      <c r="FS29" s="240"/>
      <c r="FT29" s="240"/>
      <c r="FU29" s="240"/>
      <c r="FV29" s="240"/>
      <c r="FW29" s="240"/>
      <c r="FX29" s="240"/>
      <c r="FY29" s="240"/>
      <c r="FZ29" s="238"/>
      <c r="GA29" s="240"/>
      <c r="GB29" s="240"/>
      <c r="GC29" s="238"/>
      <c r="GD29" s="240"/>
      <c r="GE29" s="240"/>
      <c r="GF29" s="240"/>
      <c r="GG29" s="240"/>
      <c r="GH29" s="238"/>
      <c r="GI29" s="240"/>
      <c r="GJ29" s="240"/>
      <c r="GK29" s="240"/>
      <c r="GL29" s="240"/>
      <c r="GM29" s="238"/>
      <c r="GN29" s="240"/>
      <c r="GO29" s="240"/>
      <c r="GP29" s="240"/>
      <c r="GQ29" s="240"/>
      <c r="GR29" s="240"/>
      <c r="GS29" s="240"/>
      <c r="GT29" s="240"/>
      <c r="GU29" s="240"/>
      <c r="GV29" s="240"/>
      <c r="GW29" s="240"/>
      <c r="GX29" s="240"/>
      <c r="GY29" s="240"/>
      <c r="GZ29" s="240"/>
      <c r="HA29" s="240"/>
      <c r="HB29" s="240"/>
      <c r="HC29" s="240"/>
      <c r="HD29" s="238"/>
      <c r="HE29" s="240"/>
      <c r="HF29" s="240"/>
      <c r="HG29" s="240"/>
      <c r="HH29" s="240"/>
      <c r="HI29" s="240"/>
      <c r="HJ29" s="238"/>
      <c r="HK29" s="240"/>
      <c r="HL29" s="238"/>
      <c r="HM29" s="241"/>
      <c r="HN29" s="235"/>
      <c r="HO29" s="235"/>
      <c r="HP29" s="235"/>
      <c r="HQ29" s="235"/>
    </row>
    <row r="30" spans="2:225" hidden="1" outlineLevel="2">
      <c r="B30" s="257" t="s">
        <v>2037</v>
      </c>
      <c r="C30" s="258" t="str">
        <f>IF(OR(E27='3. Dropdowns'!C51,E27='3. Dropdowns'!C52,E27='3. Dropdowns'!C54,E27='3. Dropdowns'!C56),"Hide","Show")</f>
        <v>Show</v>
      </c>
      <c r="D30" s="236" t="s">
        <v>3144</v>
      </c>
      <c r="E30" s="248"/>
      <c r="F30" s="253" t="str">
        <f>IF(E30='3. Dropdowns'!C60,"","Submittals, Execution")</f>
        <v>Submittals, Execution</v>
      </c>
      <c r="G30" s="254"/>
      <c r="H30" s="238"/>
      <c r="I30" s="239"/>
      <c r="J30" s="239"/>
      <c r="K30" s="239"/>
      <c r="L30" s="239"/>
      <c r="M30" s="239"/>
      <c r="N30" s="239"/>
      <c r="O30" s="240"/>
      <c r="P30" s="240"/>
      <c r="Q30" s="240"/>
      <c r="R30" s="240"/>
      <c r="S30" s="240"/>
      <c r="T30" s="240" t="s">
        <v>890</v>
      </c>
      <c r="U30" s="240"/>
      <c r="V30" s="240"/>
      <c r="W30" s="240"/>
      <c r="X30" s="238"/>
      <c r="Y30" s="240"/>
      <c r="Z30" s="240"/>
      <c r="AA30" s="240"/>
      <c r="AB30" s="240"/>
      <c r="AC30" s="240"/>
      <c r="AD30" s="240"/>
      <c r="AE30" s="240"/>
      <c r="AF30" s="240"/>
      <c r="AG30" s="240"/>
      <c r="AH30" s="238"/>
      <c r="AI30" s="240"/>
      <c r="AJ30" s="240"/>
      <c r="AK30" s="240"/>
      <c r="AL30" s="240"/>
      <c r="AM30" s="238"/>
      <c r="AN30" s="240"/>
      <c r="AO30" s="240"/>
      <c r="AP30" s="240"/>
      <c r="AQ30" s="238"/>
      <c r="AR30" s="240"/>
      <c r="AS30" s="240"/>
      <c r="AT30" s="240"/>
      <c r="AU30" s="240"/>
      <c r="AV30" s="240"/>
      <c r="AW30" s="240"/>
      <c r="AX30" s="240"/>
      <c r="AY30" s="240"/>
      <c r="AZ30" s="238"/>
      <c r="BA30" s="240"/>
      <c r="BB30" s="240"/>
      <c r="BC30" s="240"/>
      <c r="BD30" s="240"/>
      <c r="BE30" s="240"/>
      <c r="BF30" s="240"/>
      <c r="BG30" s="240"/>
      <c r="BH30" s="240"/>
      <c r="BI30" s="240"/>
      <c r="BJ30" s="240"/>
      <c r="BK30" s="240"/>
      <c r="BL30" s="240"/>
      <c r="BM30" s="240"/>
      <c r="BN30" s="240"/>
      <c r="BO30" s="240"/>
      <c r="BP30" s="238"/>
      <c r="BQ30" s="240"/>
      <c r="BR30" s="240"/>
      <c r="BS30" s="240"/>
      <c r="BT30" s="240"/>
      <c r="BU30" s="240"/>
      <c r="BV30" s="240"/>
      <c r="BW30" s="240"/>
      <c r="BX30" s="240"/>
      <c r="BY30" s="240"/>
      <c r="BZ30" s="240"/>
      <c r="CA30" s="240"/>
      <c r="CB30" s="240"/>
      <c r="CC30" s="240"/>
      <c r="CD30" s="240"/>
      <c r="CE30" s="240"/>
      <c r="CF30" s="238"/>
      <c r="CG30" s="240"/>
      <c r="CH30" s="240"/>
      <c r="CI30" s="240"/>
      <c r="CJ30" s="240"/>
      <c r="CK30" s="240"/>
      <c r="CL30" s="240"/>
      <c r="CM30" s="240"/>
      <c r="CN30" s="240"/>
      <c r="CO30" s="240"/>
      <c r="CP30" s="240"/>
      <c r="CQ30" s="240"/>
      <c r="CR30" s="240"/>
      <c r="CS30" s="238"/>
      <c r="CT30" s="240"/>
      <c r="CU30" s="240"/>
      <c r="CV30" s="240"/>
      <c r="CW30" s="240"/>
      <c r="CX30" s="240"/>
      <c r="CY30" s="240"/>
      <c r="CZ30" s="240"/>
      <c r="DA30" s="240"/>
      <c r="DB30" s="240"/>
      <c r="DC30" s="240"/>
      <c r="DD30" s="240"/>
      <c r="DE30" s="240"/>
      <c r="DF30" s="238"/>
      <c r="DG30" s="240"/>
      <c r="DH30" s="240"/>
      <c r="DI30" s="240"/>
      <c r="DJ30" s="240"/>
      <c r="DK30" s="240"/>
      <c r="DL30" s="240"/>
      <c r="DM30" s="240"/>
      <c r="DN30" s="240"/>
      <c r="DO30" s="240"/>
      <c r="DP30" s="240"/>
      <c r="DQ30" s="240"/>
      <c r="DR30" s="238"/>
      <c r="DS30" s="240"/>
      <c r="DT30" s="240"/>
      <c r="DU30" s="240"/>
      <c r="DV30" s="238"/>
      <c r="DW30" s="240"/>
      <c r="DX30" s="240"/>
      <c r="DY30" s="240"/>
      <c r="DZ30" s="240"/>
      <c r="EA30" s="240"/>
      <c r="EB30" s="240"/>
      <c r="EC30" s="240"/>
      <c r="ED30" s="240"/>
      <c r="EE30" s="240" t="s">
        <v>890</v>
      </c>
      <c r="EF30" s="238"/>
      <c r="EG30" s="240"/>
      <c r="EH30" s="240"/>
      <c r="EI30" s="240"/>
      <c r="EJ30" s="238"/>
      <c r="EK30" s="240"/>
      <c r="EL30" s="238"/>
      <c r="EM30" s="240"/>
      <c r="EN30" s="240"/>
      <c r="EO30" s="240"/>
      <c r="EP30" s="240"/>
      <c r="EQ30" s="240"/>
      <c r="ER30" s="240"/>
      <c r="ES30" s="240"/>
      <c r="ET30" s="240"/>
      <c r="EU30" s="240"/>
      <c r="EV30" s="240"/>
      <c r="EW30" s="240"/>
      <c r="EX30" s="238"/>
      <c r="EY30" s="240"/>
      <c r="EZ30" s="240"/>
      <c r="FA30" s="240"/>
      <c r="FB30" s="240"/>
      <c r="FC30" s="240"/>
      <c r="FD30" s="240"/>
      <c r="FE30" s="240"/>
      <c r="FF30" s="240"/>
      <c r="FG30" s="240"/>
      <c r="FH30" s="240"/>
      <c r="FI30" s="240"/>
      <c r="FJ30" s="240"/>
      <c r="FK30" s="240"/>
      <c r="FL30" s="240"/>
      <c r="FM30" s="240"/>
      <c r="FN30" s="240"/>
      <c r="FO30" s="238"/>
      <c r="FP30" s="240"/>
      <c r="FQ30" s="240"/>
      <c r="FR30" s="240"/>
      <c r="FS30" s="240"/>
      <c r="FT30" s="240"/>
      <c r="FU30" s="240"/>
      <c r="FV30" s="240"/>
      <c r="FW30" s="240"/>
      <c r="FX30" s="240"/>
      <c r="FY30" s="240"/>
      <c r="FZ30" s="238"/>
      <c r="GA30" s="240"/>
      <c r="GB30" s="240"/>
      <c r="GC30" s="238"/>
      <c r="GD30" s="240"/>
      <c r="GE30" s="240"/>
      <c r="GF30" s="240"/>
      <c r="GG30" s="240"/>
      <c r="GH30" s="238"/>
      <c r="GI30" s="240"/>
      <c r="GJ30" s="240"/>
      <c r="GK30" s="240"/>
      <c r="GL30" s="240"/>
      <c r="GM30" s="238"/>
      <c r="GN30" s="240"/>
      <c r="GO30" s="240"/>
      <c r="GP30" s="240"/>
      <c r="GQ30" s="240"/>
      <c r="GR30" s="240"/>
      <c r="GS30" s="240"/>
      <c r="GT30" s="240"/>
      <c r="GU30" s="240"/>
      <c r="GV30" s="240"/>
      <c r="GW30" s="240"/>
      <c r="GX30" s="240"/>
      <c r="GY30" s="240"/>
      <c r="GZ30" s="240"/>
      <c r="HA30" s="240"/>
      <c r="HB30" s="240"/>
      <c r="HC30" s="240"/>
      <c r="HD30" s="238"/>
      <c r="HE30" s="240"/>
      <c r="HF30" s="240"/>
      <c r="HG30" s="240"/>
      <c r="HH30" s="240"/>
      <c r="HI30" s="240"/>
      <c r="HJ30" s="238"/>
      <c r="HK30" s="240"/>
      <c r="HL30" s="238"/>
      <c r="HM30" s="241"/>
      <c r="HN30" s="235"/>
      <c r="HO30" s="235"/>
      <c r="HP30" s="235"/>
      <c r="HQ30" s="235"/>
    </row>
    <row r="31" spans="2:225" hidden="1" outlineLevel="2">
      <c r="B31" s="257" t="s">
        <v>2038</v>
      </c>
      <c r="C31" s="258" t="str">
        <f>IF(OR(E27='3. Dropdowns'!C51,E27='3. Dropdowns'!C52,E27='3. Dropdowns'!C53,E27='3. Dropdowns'!C55),"Hide","Show")</f>
        <v>Show</v>
      </c>
      <c r="D31" s="236" t="s">
        <v>3145</v>
      </c>
      <c r="E31" s="248"/>
      <c r="F31" s="253" t="str">
        <f>IF(E31='3. Dropdowns'!C60,"","Submittals, Execution")</f>
        <v>Submittals, Execution</v>
      </c>
      <c r="G31" s="254"/>
      <c r="H31" s="238"/>
      <c r="I31" s="239"/>
      <c r="J31" s="239"/>
      <c r="K31" s="239"/>
      <c r="L31" s="239"/>
      <c r="M31" s="239"/>
      <c r="N31" s="239"/>
      <c r="O31" s="240"/>
      <c r="P31" s="240"/>
      <c r="Q31" s="240"/>
      <c r="R31" s="240"/>
      <c r="S31" s="240"/>
      <c r="T31" s="240" t="s">
        <v>890</v>
      </c>
      <c r="U31" s="240"/>
      <c r="V31" s="240"/>
      <c r="W31" s="240"/>
      <c r="X31" s="238"/>
      <c r="Y31" s="240"/>
      <c r="Z31" s="240"/>
      <c r="AA31" s="240"/>
      <c r="AB31" s="240"/>
      <c r="AC31" s="240"/>
      <c r="AD31" s="240"/>
      <c r="AE31" s="240"/>
      <c r="AF31" s="240"/>
      <c r="AG31" s="240"/>
      <c r="AH31" s="238"/>
      <c r="AI31" s="240"/>
      <c r="AJ31" s="240"/>
      <c r="AK31" s="240"/>
      <c r="AL31" s="240"/>
      <c r="AM31" s="238"/>
      <c r="AN31" s="240"/>
      <c r="AO31" s="240"/>
      <c r="AP31" s="240"/>
      <c r="AQ31" s="238"/>
      <c r="AR31" s="240"/>
      <c r="AS31" s="240"/>
      <c r="AT31" s="240"/>
      <c r="AU31" s="240"/>
      <c r="AV31" s="240"/>
      <c r="AW31" s="240"/>
      <c r="AX31" s="240"/>
      <c r="AY31" s="240"/>
      <c r="AZ31" s="238"/>
      <c r="BA31" s="240"/>
      <c r="BB31" s="240"/>
      <c r="BC31" s="240"/>
      <c r="BD31" s="240"/>
      <c r="BE31" s="240"/>
      <c r="BF31" s="240"/>
      <c r="BG31" s="240"/>
      <c r="BH31" s="240"/>
      <c r="BI31" s="240"/>
      <c r="BJ31" s="240"/>
      <c r="BK31" s="240"/>
      <c r="BL31" s="240"/>
      <c r="BM31" s="240"/>
      <c r="BN31" s="240"/>
      <c r="BO31" s="240"/>
      <c r="BP31" s="238"/>
      <c r="BQ31" s="240"/>
      <c r="BR31" s="240"/>
      <c r="BS31" s="240"/>
      <c r="BT31" s="240"/>
      <c r="BU31" s="240"/>
      <c r="BV31" s="240"/>
      <c r="BW31" s="240"/>
      <c r="BX31" s="240"/>
      <c r="BY31" s="240"/>
      <c r="BZ31" s="240"/>
      <c r="CA31" s="240"/>
      <c r="CB31" s="240"/>
      <c r="CC31" s="240"/>
      <c r="CD31" s="240"/>
      <c r="CE31" s="240"/>
      <c r="CF31" s="238"/>
      <c r="CG31" s="240"/>
      <c r="CH31" s="240"/>
      <c r="CI31" s="240"/>
      <c r="CJ31" s="240"/>
      <c r="CK31" s="240"/>
      <c r="CL31" s="240"/>
      <c r="CM31" s="240"/>
      <c r="CN31" s="240"/>
      <c r="CO31" s="240"/>
      <c r="CP31" s="240"/>
      <c r="CQ31" s="240"/>
      <c r="CR31" s="240"/>
      <c r="CS31" s="238"/>
      <c r="CT31" s="240"/>
      <c r="CU31" s="240"/>
      <c r="CV31" s="240"/>
      <c r="CW31" s="240"/>
      <c r="CX31" s="240"/>
      <c r="CY31" s="240"/>
      <c r="CZ31" s="240"/>
      <c r="DA31" s="240"/>
      <c r="DB31" s="240"/>
      <c r="DC31" s="240"/>
      <c r="DD31" s="240"/>
      <c r="DE31" s="240"/>
      <c r="DF31" s="238"/>
      <c r="DG31" s="240" t="s">
        <v>890</v>
      </c>
      <c r="DH31" s="240"/>
      <c r="DI31" s="240"/>
      <c r="DJ31" s="240"/>
      <c r="DK31" s="240"/>
      <c r="DL31" s="240"/>
      <c r="DM31" s="240"/>
      <c r="DN31" s="240"/>
      <c r="DO31" s="240"/>
      <c r="DP31" s="240"/>
      <c r="DQ31" s="240"/>
      <c r="DR31" s="238"/>
      <c r="DS31" s="240"/>
      <c r="DT31" s="240"/>
      <c r="DU31" s="240"/>
      <c r="DV31" s="238"/>
      <c r="DW31" s="240"/>
      <c r="DX31" s="240"/>
      <c r="DY31" s="240"/>
      <c r="DZ31" s="240"/>
      <c r="EA31" s="240"/>
      <c r="EB31" s="240"/>
      <c r="EC31" s="240"/>
      <c r="ED31" s="240"/>
      <c r="EE31" s="240"/>
      <c r="EF31" s="238"/>
      <c r="EG31" s="240"/>
      <c r="EH31" s="240"/>
      <c r="EI31" s="240"/>
      <c r="EJ31" s="238"/>
      <c r="EK31" s="240"/>
      <c r="EL31" s="238"/>
      <c r="EM31" s="240"/>
      <c r="EN31" s="240"/>
      <c r="EO31" s="240"/>
      <c r="EP31" s="240"/>
      <c r="EQ31" s="240"/>
      <c r="ER31" s="240"/>
      <c r="ES31" s="240"/>
      <c r="ET31" s="240"/>
      <c r="EU31" s="240"/>
      <c r="EV31" s="240"/>
      <c r="EW31" s="240"/>
      <c r="EX31" s="238"/>
      <c r="EY31" s="240"/>
      <c r="EZ31" s="240"/>
      <c r="FA31" s="240"/>
      <c r="FB31" s="240"/>
      <c r="FC31" s="240"/>
      <c r="FD31" s="240"/>
      <c r="FE31" s="240"/>
      <c r="FF31" s="240"/>
      <c r="FG31" s="240"/>
      <c r="FH31" s="240"/>
      <c r="FI31" s="240"/>
      <c r="FJ31" s="240"/>
      <c r="FK31" s="240"/>
      <c r="FL31" s="240"/>
      <c r="FM31" s="240"/>
      <c r="FN31" s="240"/>
      <c r="FO31" s="238"/>
      <c r="FP31" s="240"/>
      <c r="FQ31" s="240"/>
      <c r="FR31" s="240"/>
      <c r="FS31" s="240"/>
      <c r="FT31" s="240"/>
      <c r="FU31" s="240"/>
      <c r="FV31" s="240"/>
      <c r="FW31" s="240"/>
      <c r="FX31" s="240"/>
      <c r="FY31" s="240"/>
      <c r="FZ31" s="238"/>
      <c r="GA31" s="240"/>
      <c r="GB31" s="240"/>
      <c r="GC31" s="238"/>
      <c r="GD31" s="240"/>
      <c r="GE31" s="240"/>
      <c r="GF31" s="240"/>
      <c r="GG31" s="240"/>
      <c r="GH31" s="238"/>
      <c r="GI31" s="240"/>
      <c r="GJ31" s="240"/>
      <c r="GK31" s="240"/>
      <c r="GL31" s="240"/>
      <c r="GM31" s="238"/>
      <c r="GN31" s="240"/>
      <c r="GO31" s="240"/>
      <c r="GP31" s="240"/>
      <c r="GQ31" s="240"/>
      <c r="GR31" s="240"/>
      <c r="GS31" s="240"/>
      <c r="GT31" s="240"/>
      <c r="GU31" s="240"/>
      <c r="GV31" s="240"/>
      <c r="GW31" s="240"/>
      <c r="GX31" s="240"/>
      <c r="GY31" s="240"/>
      <c r="GZ31" s="240"/>
      <c r="HA31" s="240"/>
      <c r="HB31" s="240"/>
      <c r="HC31" s="240"/>
      <c r="HD31" s="238"/>
      <c r="HE31" s="240"/>
      <c r="HF31" s="240"/>
      <c r="HG31" s="240"/>
      <c r="HH31" s="240"/>
      <c r="HI31" s="240"/>
      <c r="HJ31" s="238"/>
      <c r="HK31" s="240"/>
      <c r="HL31" s="238"/>
      <c r="HM31" s="241"/>
      <c r="HN31" s="235"/>
      <c r="HO31" s="235"/>
      <c r="HP31" s="235"/>
      <c r="HQ31" s="235"/>
    </row>
    <row r="32" spans="2:225" ht="37.5" hidden="1" outlineLevel="2">
      <c r="B32" s="257" t="s">
        <v>2038</v>
      </c>
      <c r="C32" s="258" t="str">
        <f>IF(OR(E27='3. Dropdowns'!C51,E27='3. Dropdowns'!C52,E27='3. Dropdowns'!C53,E27='3. Dropdowns'!C55),"Hide","Show")</f>
        <v>Show</v>
      </c>
      <c r="D32" s="236" t="s">
        <v>3146</v>
      </c>
      <c r="E32" s="248"/>
      <c r="F32" s="253" t="str">
        <f>IF(E32='3. Dropdowns'!C60,"","Execution")</f>
        <v>Execution</v>
      </c>
      <c r="G32" s="254"/>
      <c r="H32" s="238"/>
      <c r="I32" s="239"/>
      <c r="J32" s="239"/>
      <c r="K32" s="239"/>
      <c r="L32" s="239"/>
      <c r="M32" s="239"/>
      <c r="N32" s="239"/>
      <c r="O32" s="240"/>
      <c r="P32" s="240"/>
      <c r="Q32" s="240"/>
      <c r="R32" s="240"/>
      <c r="S32" s="240"/>
      <c r="T32" s="240" t="s">
        <v>890</v>
      </c>
      <c r="U32" s="240"/>
      <c r="V32" s="240"/>
      <c r="W32" s="240"/>
      <c r="X32" s="238"/>
      <c r="Y32" s="240"/>
      <c r="Z32" s="240"/>
      <c r="AA32" s="240"/>
      <c r="AB32" s="240"/>
      <c r="AC32" s="240"/>
      <c r="AD32" s="240"/>
      <c r="AE32" s="240"/>
      <c r="AF32" s="240"/>
      <c r="AG32" s="240"/>
      <c r="AH32" s="238"/>
      <c r="AI32" s="240"/>
      <c r="AJ32" s="240"/>
      <c r="AK32" s="240"/>
      <c r="AL32" s="240"/>
      <c r="AM32" s="238"/>
      <c r="AN32" s="240"/>
      <c r="AO32" s="240"/>
      <c r="AP32" s="240"/>
      <c r="AQ32" s="238"/>
      <c r="AR32" s="240"/>
      <c r="AS32" s="240"/>
      <c r="AT32" s="240"/>
      <c r="AU32" s="240"/>
      <c r="AV32" s="240"/>
      <c r="AW32" s="240"/>
      <c r="AX32" s="240"/>
      <c r="AY32" s="240"/>
      <c r="AZ32" s="238"/>
      <c r="BA32" s="240"/>
      <c r="BB32" s="240"/>
      <c r="BC32" s="240"/>
      <c r="BD32" s="240"/>
      <c r="BE32" s="240"/>
      <c r="BF32" s="240"/>
      <c r="BG32" s="240"/>
      <c r="BH32" s="240"/>
      <c r="BI32" s="240"/>
      <c r="BJ32" s="240"/>
      <c r="BK32" s="240"/>
      <c r="BL32" s="240"/>
      <c r="BM32" s="240"/>
      <c r="BN32" s="240"/>
      <c r="BO32" s="240"/>
      <c r="BP32" s="238"/>
      <c r="BQ32" s="240"/>
      <c r="BR32" s="240"/>
      <c r="BS32" s="240"/>
      <c r="BT32" s="240"/>
      <c r="BU32" s="240"/>
      <c r="BV32" s="240"/>
      <c r="BW32" s="240"/>
      <c r="BX32" s="240"/>
      <c r="BY32" s="240"/>
      <c r="BZ32" s="240"/>
      <c r="CA32" s="240"/>
      <c r="CB32" s="240"/>
      <c r="CC32" s="240"/>
      <c r="CD32" s="240"/>
      <c r="CE32" s="240"/>
      <c r="CF32" s="238"/>
      <c r="CG32" s="240"/>
      <c r="CH32" s="240"/>
      <c r="CI32" s="240"/>
      <c r="CJ32" s="240"/>
      <c r="CK32" s="240"/>
      <c r="CL32" s="240"/>
      <c r="CM32" s="240"/>
      <c r="CN32" s="240"/>
      <c r="CO32" s="240"/>
      <c r="CP32" s="240"/>
      <c r="CQ32" s="240"/>
      <c r="CR32" s="240"/>
      <c r="CS32" s="238"/>
      <c r="CT32" s="240"/>
      <c r="CU32" s="240"/>
      <c r="CV32" s="240"/>
      <c r="CW32" s="240"/>
      <c r="CX32" s="240"/>
      <c r="CY32" s="240"/>
      <c r="CZ32" s="240"/>
      <c r="DA32" s="240"/>
      <c r="DB32" s="240"/>
      <c r="DC32" s="240"/>
      <c r="DD32" s="240"/>
      <c r="DE32" s="240"/>
      <c r="DF32" s="238"/>
      <c r="DG32" s="240"/>
      <c r="DH32" s="240"/>
      <c r="DI32" s="240"/>
      <c r="DJ32" s="240"/>
      <c r="DK32" s="240"/>
      <c r="DL32" s="240"/>
      <c r="DM32" s="240"/>
      <c r="DN32" s="240"/>
      <c r="DO32" s="240"/>
      <c r="DP32" s="240"/>
      <c r="DQ32" s="240"/>
      <c r="DR32" s="238"/>
      <c r="DS32" s="240"/>
      <c r="DT32" s="240"/>
      <c r="DU32" s="240"/>
      <c r="DV32" s="238"/>
      <c r="DW32" s="240"/>
      <c r="DX32" s="240"/>
      <c r="DY32" s="240"/>
      <c r="DZ32" s="240"/>
      <c r="EA32" s="240"/>
      <c r="EB32" s="240"/>
      <c r="EC32" s="240"/>
      <c r="ED32" s="240"/>
      <c r="EE32" s="240"/>
      <c r="EF32" s="238"/>
      <c r="EG32" s="240"/>
      <c r="EH32" s="240"/>
      <c r="EI32" s="240"/>
      <c r="EJ32" s="238"/>
      <c r="EK32" s="240"/>
      <c r="EL32" s="238"/>
      <c r="EM32" s="240"/>
      <c r="EN32" s="240"/>
      <c r="EO32" s="240"/>
      <c r="EP32" s="240"/>
      <c r="EQ32" s="240"/>
      <c r="ER32" s="240"/>
      <c r="ES32" s="240"/>
      <c r="ET32" s="240"/>
      <c r="EU32" s="240"/>
      <c r="EV32" s="240"/>
      <c r="EW32" s="240"/>
      <c r="EX32" s="238"/>
      <c r="EY32" s="240"/>
      <c r="EZ32" s="240"/>
      <c r="FA32" s="240"/>
      <c r="FB32" s="240"/>
      <c r="FC32" s="240"/>
      <c r="FD32" s="240"/>
      <c r="FE32" s="240"/>
      <c r="FF32" s="240"/>
      <c r="FG32" s="240"/>
      <c r="FH32" s="240"/>
      <c r="FI32" s="240"/>
      <c r="FJ32" s="240"/>
      <c r="FK32" s="240"/>
      <c r="FL32" s="240"/>
      <c r="FM32" s="240"/>
      <c r="FN32" s="240"/>
      <c r="FO32" s="238"/>
      <c r="FP32" s="240"/>
      <c r="FQ32" s="240"/>
      <c r="FR32" s="240"/>
      <c r="FS32" s="240"/>
      <c r="FT32" s="240"/>
      <c r="FU32" s="240"/>
      <c r="FV32" s="240"/>
      <c r="FW32" s="240"/>
      <c r="FX32" s="240"/>
      <c r="FY32" s="240"/>
      <c r="FZ32" s="238"/>
      <c r="GA32" s="240"/>
      <c r="GB32" s="240"/>
      <c r="GC32" s="238"/>
      <c r="GD32" s="240"/>
      <c r="GE32" s="240"/>
      <c r="GF32" s="240"/>
      <c r="GG32" s="240"/>
      <c r="GH32" s="238"/>
      <c r="GI32" s="240"/>
      <c r="GJ32" s="240"/>
      <c r="GK32" s="240"/>
      <c r="GL32" s="240"/>
      <c r="GM32" s="238" t="s">
        <v>890</v>
      </c>
      <c r="GN32" s="240"/>
      <c r="GO32" s="240"/>
      <c r="GP32" s="240"/>
      <c r="GQ32" s="240"/>
      <c r="GR32" s="240"/>
      <c r="GS32" s="240"/>
      <c r="GT32" s="240"/>
      <c r="GU32" s="240"/>
      <c r="GV32" s="240"/>
      <c r="GW32" s="240"/>
      <c r="GX32" s="240"/>
      <c r="GY32" s="240"/>
      <c r="GZ32" s="240"/>
      <c r="HA32" s="240"/>
      <c r="HB32" s="240"/>
      <c r="HC32" s="240"/>
      <c r="HD32" s="238"/>
      <c r="HE32" s="240"/>
      <c r="HF32" s="240"/>
      <c r="HG32" s="240"/>
      <c r="HH32" s="240"/>
      <c r="HI32" s="240"/>
      <c r="HJ32" s="238"/>
      <c r="HK32" s="240"/>
      <c r="HL32" s="238"/>
      <c r="HM32" s="241"/>
      <c r="HN32" s="235"/>
      <c r="HO32" s="235"/>
      <c r="HP32" s="235"/>
      <c r="HQ32" s="235"/>
    </row>
    <row r="33" spans="2:225" hidden="1" outlineLevel="2">
      <c r="B33" s="257" t="s">
        <v>2038</v>
      </c>
      <c r="C33" s="258" t="str">
        <f>IF(C32="Hide","Hide",IF(E32='3. Dropdowns'!C60,"Hide","Show"))</f>
        <v>Show</v>
      </c>
      <c r="D33" s="259" t="s">
        <v>2049</v>
      </c>
      <c r="E33" s="248"/>
      <c r="F33" s="253" t="str">
        <f>IF(E32='3. Dropdowns'!C60,"","Execution")</f>
        <v>Execution</v>
      </c>
      <c r="G33" s="254"/>
      <c r="H33" s="238"/>
      <c r="I33" s="239"/>
      <c r="J33" s="239"/>
      <c r="K33" s="239"/>
      <c r="L33" s="239"/>
      <c r="M33" s="239"/>
      <c r="N33" s="239"/>
      <c r="O33" s="240"/>
      <c r="P33" s="240"/>
      <c r="Q33" s="240"/>
      <c r="R33" s="240"/>
      <c r="S33" s="240"/>
      <c r="T33" s="240"/>
      <c r="U33" s="240"/>
      <c r="V33" s="240"/>
      <c r="W33" s="240"/>
      <c r="X33" s="238"/>
      <c r="Y33" s="240"/>
      <c r="Z33" s="240"/>
      <c r="AA33" s="240"/>
      <c r="AB33" s="240"/>
      <c r="AC33" s="240"/>
      <c r="AD33" s="240"/>
      <c r="AE33" s="240"/>
      <c r="AF33" s="240"/>
      <c r="AG33" s="240"/>
      <c r="AH33" s="238"/>
      <c r="AI33" s="240"/>
      <c r="AJ33" s="240"/>
      <c r="AK33" s="240"/>
      <c r="AL33" s="240"/>
      <c r="AM33" s="238"/>
      <c r="AN33" s="240"/>
      <c r="AO33" s="240"/>
      <c r="AP33" s="240"/>
      <c r="AQ33" s="238"/>
      <c r="AR33" s="240"/>
      <c r="AS33" s="240"/>
      <c r="AT33" s="240"/>
      <c r="AU33" s="240"/>
      <c r="AV33" s="240"/>
      <c r="AW33" s="240"/>
      <c r="AX33" s="240"/>
      <c r="AY33" s="240"/>
      <c r="AZ33" s="238"/>
      <c r="BA33" s="240"/>
      <c r="BB33" s="240"/>
      <c r="BC33" s="240"/>
      <c r="BD33" s="240"/>
      <c r="BE33" s="240"/>
      <c r="BF33" s="240"/>
      <c r="BG33" s="240"/>
      <c r="BH33" s="240"/>
      <c r="BI33" s="240"/>
      <c r="BJ33" s="240"/>
      <c r="BK33" s="240"/>
      <c r="BL33" s="240"/>
      <c r="BM33" s="240"/>
      <c r="BN33" s="240"/>
      <c r="BO33" s="240"/>
      <c r="BP33" s="238"/>
      <c r="BQ33" s="240"/>
      <c r="BR33" s="240"/>
      <c r="BS33" s="240"/>
      <c r="BT33" s="240"/>
      <c r="BU33" s="240"/>
      <c r="BV33" s="240"/>
      <c r="BW33" s="240"/>
      <c r="BX33" s="240"/>
      <c r="BY33" s="240"/>
      <c r="BZ33" s="240"/>
      <c r="CA33" s="240"/>
      <c r="CB33" s="240"/>
      <c r="CC33" s="240"/>
      <c r="CD33" s="240"/>
      <c r="CE33" s="240"/>
      <c r="CF33" s="238"/>
      <c r="CG33" s="240"/>
      <c r="CH33" s="240"/>
      <c r="CI33" s="240"/>
      <c r="CJ33" s="240"/>
      <c r="CK33" s="240"/>
      <c r="CL33" s="240"/>
      <c r="CM33" s="240"/>
      <c r="CN33" s="240"/>
      <c r="CO33" s="240"/>
      <c r="CP33" s="240"/>
      <c r="CQ33" s="240"/>
      <c r="CR33" s="240"/>
      <c r="CS33" s="238"/>
      <c r="CT33" s="240"/>
      <c r="CU33" s="240"/>
      <c r="CV33" s="240"/>
      <c r="CW33" s="240"/>
      <c r="CX33" s="240"/>
      <c r="CY33" s="240"/>
      <c r="CZ33" s="240"/>
      <c r="DA33" s="240"/>
      <c r="DB33" s="240"/>
      <c r="DC33" s="240"/>
      <c r="DD33" s="240"/>
      <c r="DE33" s="240"/>
      <c r="DF33" s="238"/>
      <c r="DG33" s="240"/>
      <c r="DH33" s="240"/>
      <c r="DI33" s="240"/>
      <c r="DJ33" s="240"/>
      <c r="DK33" s="240"/>
      <c r="DL33" s="240"/>
      <c r="DM33" s="240"/>
      <c r="DN33" s="240"/>
      <c r="DO33" s="240"/>
      <c r="DP33" s="240"/>
      <c r="DQ33" s="240"/>
      <c r="DR33" s="238"/>
      <c r="DS33" s="240"/>
      <c r="DT33" s="240"/>
      <c r="DU33" s="240"/>
      <c r="DV33" s="238"/>
      <c r="DW33" s="240"/>
      <c r="DX33" s="240"/>
      <c r="DY33" s="240"/>
      <c r="DZ33" s="240"/>
      <c r="EA33" s="240"/>
      <c r="EB33" s="240"/>
      <c r="EC33" s="240"/>
      <c r="ED33" s="240"/>
      <c r="EE33" s="240"/>
      <c r="EF33" s="238"/>
      <c r="EG33" s="240"/>
      <c r="EH33" s="240"/>
      <c r="EI33" s="240"/>
      <c r="EJ33" s="238"/>
      <c r="EK33" s="240"/>
      <c r="EL33" s="238"/>
      <c r="EM33" s="240"/>
      <c r="EN33" s="240"/>
      <c r="EO33" s="240"/>
      <c r="EP33" s="240"/>
      <c r="EQ33" s="240"/>
      <c r="ER33" s="240"/>
      <c r="ES33" s="240"/>
      <c r="ET33" s="240"/>
      <c r="EU33" s="240"/>
      <c r="EV33" s="240"/>
      <c r="EW33" s="240"/>
      <c r="EX33" s="238"/>
      <c r="EY33" s="240"/>
      <c r="EZ33" s="240"/>
      <c r="FA33" s="240"/>
      <c r="FB33" s="240"/>
      <c r="FC33" s="240"/>
      <c r="FD33" s="240"/>
      <c r="FE33" s="240"/>
      <c r="FF33" s="240"/>
      <c r="FG33" s="240"/>
      <c r="FH33" s="240"/>
      <c r="FI33" s="240"/>
      <c r="FJ33" s="240"/>
      <c r="FK33" s="240"/>
      <c r="FL33" s="240"/>
      <c r="FM33" s="240"/>
      <c r="FN33" s="240"/>
      <c r="FO33" s="238"/>
      <c r="FP33" s="240"/>
      <c r="FQ33" s="240"/>
      <c r="FR33" s="240"/>
      <c r="FS33" s="240"/>
      <c r="FT33" s="240"/>
      <c r="FU33" s="240"/>
      <c r="FV33" s="240"/>
      <c r="FW33" s="240"/>
      <c r="FX33" s="240"/>
      <c r="FY33" s="240"/>
      <c r="FZ33" s="238"/>
      <c r="GA33" s="240"/>
      <c r="GB33" s="240"/>
      <c r="GC33" s="238"/>
      <c r="GD33" s="240"/>
      <c r="GE33" s="240"/>
      <c r="GF33" s="240"/>
      <c r="GG33" s="240"/>
      <c r="GH33" s="238"/>
      <c r="GI33" s="240"/>
      <c r="GJ33" s="240"/>
      <c r="GK33" s="240"/>
      <c r="GL33" s="240"/>
      <c r="GM33" s="238"/>
      <c r="GN33" s="240"/>
      <c r="GO33" s="240"/>
      <c r="GP33" s="240"/>
      <c r="GQ33" s="240"/>
      <c r="GR33" s="240"/>
      <c r="GS33" s="240"/>
      <c r="GT33" s="240"/>
      <c r="GU33" s="240"/>
      <c r="GV33" s="240"/>
      <c r="GW33" s="240"/>
      <c r="GX33" s="240"/>
      <c r="GY33" s="240"/>
      <c r="GZ33" s="240"/>
      <c r="HA33" s="240"/>
      <c r="HB33" s="240"/>
      <c r="HC33" s="240"/>
      <c r="HD33" s="238"/>
      <c r="HE33" s="240"/>
      <c r="HF33" s="240"/>
      <c r="HG33" s="240"/>
      <c r="HH33" s="240"/>
      <c r="HI33" s="240"/>
      <c r="HJ33" s="238"/>
      <c r="HK33" s="240"/>
      <c r="HL33" s="238"/>
      <c r="HM33" s="241"/>
      <c r="HN33" s="235"/>
      <c r="HO33" s="235"/>
      <c r="HP33" s="235"/>
      <c r="HQ33" s="235"/>
    </row>
    <row r="34" spans="2:225" ht="37.5" hidden="1" outlineLevel="2">
      <c r="B34" s="257" t="s">
        <v>2038</v>
      </c>
      <c r="C34" s="258" t="str">
        <f>IF(OR(E27='3. Dropdowns'!C51,E27='3. Dropdowns'!C52,E27='3. Dropdowns'!C53,E27='3. Dropdowns'!C55),"Hide","Show")</f>
        <v>Show</v>
      </c>
      <c r="D34" s="236" t="s">
        <v>3147</v>
      </c>
      <c r="E34" s="248"/>
      <c r="F34" s="253" t="str">
        <f>IF(E34='3. Dropdowns'!C60,"","Execution")</f>
        <v>Execution</v>
      </c>
      <c r="G34" s="254"/>
      <c r="H34" s="238"/>
      <c r="I34" s="239"/>
      <c r="J34" s="239"/>
      <c r="K34" s="239"/>
      <c r="L34" s="239"/>
      <c r="M34" s="239"/>
      <c r="N34" s="239"/>
      <c r="O34" s="240"/>
      <c r="P34" s="240"/>
      <c r="Q34" s="240"/>
      <c r="R34" s="240"/>
      <c r="S34" s="240"/>
      <c r="T34" s="240" t="s">
        <v>890</v>
      </c>
      <c r="U34" s="240"/>
      <c r="V34" s="240"/>
      <c r="W34" s="240"/>
      <c r="X34" s="238"/>
      <c r="Y34" s="240"/>
      <c r="Z34" s="240"/>
      <c r="AA34" s="240"/>
      <c r="AB34" s="240"/>
      <c r="AC34" s="240"/>
      <c r="AD34" s="240"/>
      <c r="AE34" s="240"/>
      <c r="AF34" s="240"/>
      <c r="AG34" s="240"/>
      <c r="AH34" s="238"/>
      <c r="AI34" s="240"/>
      <c r="AJ34" s="240"/>
      <c r="AK34" s="240"/>
      <c r="AL34" s="240"/>
      <c r="AM34" s="238"/>
      <c r="AN34" s="240"/>
      <c r="AO34" s="240"/>
      <c r="AP34" s="240"/>
      <c r="AQ34" s="238"/>
      <c r="AR34" s="240"/>
      <c r="AS34" s="240"/>
      <c r="AT34" s="240"/>
      <c r="AU34" s="240"/>
      <c r="AV34" s="240"/>
      <c r="AW34" s="240"/>
      <c r="AX34" s="240"/>
      <c r="AY34" s="240"/>
      <c r="AZ34" s="238"/>
      <c r="BA34" s="240"/>
      <c r="BB34" s="240"/>
      <c r="BC34" s="240"/>
      <c r="BD34" s="240"/>
      <c r="BE34" s="240"/>
      <c r="BF34" s="240"/>
      <c r="BG34" s="240"/>
      <c r="BH34" s="240"/>
      <c r="BI34" s="240"/>
      <c r="BJ34" s="240"/>
      <c r="BK34" s="240"/>
      <c r="BL34" s="240"/>
      <c r="BM34" s="240"/>
      <c r="BN34" s="240"/>
      <c r="BO34" s="240"/>
      <c r="BP34" s="238"/>
      <c r="BQ34" s="240"/>
      <c r="BR34" s="240"/>
      <c r="BS34" s="240"/>
      <c r="BT34" s="240"/>
      <c r="BU34" s="240"/>
      <c r="BV34" s="240"/>
      <c r="BW34" s="240"/>
      <c r="BX34" s="240"/>
      <c r="BY34" s="240"/>
      <c r="BZ34" s="240"/>
      <c r="CA34" s="240"/>
      <c r="CB34" s="240"/>
      <c r="CC34" s="240"/>
      <c r="CD34" s="240"/>
      <c r="CE34" s="240"/>
      <c r="CF34" s="238"/>
      <c r="CG34" s="240"/>
      <c r="CH34" s="240"/>
      <c r="CI34" s="240"/>
      <c r="CJ34" s="240"/>
      <c r="CK34" s="240"/>
      <c r="CL34" s="240"/>
      <c r="CM34" s="240"/>
      <c r="CN34" s="240"/>
      <c r="CO34" s="240"/>
      <c r="CP34" s="240"/>
      <c r="CQ34" s="240"/>
      <c r="CR34" s="240"/>
      <c r="CS34" s="238"/>
      <c r="CT34" s="240"/>
      <c r="CU34" s="240"/>
      <c r="CV34" s="240"/>
      <c r="CW34" s="240"/>
      <c r="CX34" s="240"/>
      <c r="CY34" s="240"/>
      <c r="CZ34" s="240"/>
      <c r="DA34" s="240"/>
      <c r="DB34" s="240"/>
      <c r="DC34" s="240"/>
      <c r="DD34" s="240"/>
      <c r="DE34" s="240"/>
      <c r="DF34" s="238"/>
      <c r="DG34" s="240"/>
      <c r="DH34" s="240"/>
      <c r="DI34" s="240"/>
      <c r="DJ34" s="240"/>
      <c r="DK34" s="240"/>
      <c r="DL34" s="240"/>
      <c r="DM34" s="240"/>
      <c r="DN34" s="240"/>
      <c r="DO34" s="240"/>
      <c r="DP34" s="240"/>
      <c r="DQ34" s="240"/>
      <c r="DR34" s="238"/>
      <c r="DS34" s="240"/>
      <c r="DT34" s="240"/>
      <c r="DU34" s="240"/>
      <c r="DV34" s="238"/>
      <c r="DW34" s="240"/>
      <c r="DX34" s="240"/>
      <c r="DY34" s="240"/>
      <c r="DZ34" s="240"/>
      <c r="EA34" s="240"/>
      <c r="EB34" s="240"/>
      <c r="EC34" s="240"/>
      <c r="ED34" s="240"/>
      <c r="EE34" s="240"/>
      <c r="EF34" s="238"/>
      <c r="EG34" s="240"/>
      <c r="EH34" s="240"/>
      <c r="EI34" s="240"/>
      <c r="EJ34" s="238"/>
      <c r="EK34" s="240"/>
      <c r="EL34" s="238"/>
      <c r="EM34" s="240"/>
      <c r="EN34" s="240"/>
      <c r="EO34" s="240"/>
      <c r="EP34" s="240"/>
      <c r="EQ34" s="240"/>
      <c r="ER34" s="240"/>
      <c r="ES34" s="240"/>
      <c r="ET34" s="240"/>
      <c r="EU34" s="240"/>
      <c r="EV34" s="240"/>
      <c r="EW34" s="240"/>
      <c r="EX34" s="238"/>
      <c r="EY34" s="240"/>
      <c r="EZ34" s="240"/>
      <c r="FA34" s="240"/>
      <c r="FB34" s="240"/>
      <c r="FC34" s="240"/>
      <c r="FD34" s="240"/>
      <c r="FE34" s="240"/>
      <c r="FF34" s="240"/>
      <c r="FG34" s="240"/>
      <c r="FH34" s="240"/>
      <c r="FI34" s="240"/>
      <c r="FJ34" s="240"/>
      <c r="FK34" s="240"/>
      <c r="FL34" s="240"/>
      <c r="FM34" s="240"/>
      <c r="FN34" s="240"/>
      <c r="FO34" s="238"/>
      <c r="FP34" s="240"/>
      <c r="FQ34" s="240"/>
      <c r="FR34" s="240"/>
      <c r="FS34" s="240"/>
      <c r="FT34" s="240"/>
      <c r="FU34" s="240"/>
      <c r="FV34" s="240"/>
      <c r="FW34" s="240"/>
      <c r="FX34" s="240"/>
      <c r="FY34" s="240"/>
      <c r="FZ34" s="238"/>
      <c r="GA34" s="240"/>
      <c r="GB34" s="240"/>
      <c r="GC34" s="238"/>
      <c r="GD34" s="240"/>
      <c r="GE34" s="240"/>
      <c r="GF34" s="240"/>
      <c r="GG34" s="240"/>
      <c r="GH34" s="238"/>
      <c r="GI34" s="240"/>
      <c r="GJ34" s="240"/>
      <c r="GK34" s="240"/>
      <c r="GL34" s="240"/>
      <c r="GM34" s="238" t="s">
        <v>890</v>
      </c>
      <c r="GN34" s="240"/>
      <c r="GO34" s="240"/>
      <c r="GP34" s="240"/>
      <c r="GQ34" s="240"/>
      <c r="GR34" s="240"/>
      <c r="GS34" s="240" t="s">
        <v>890</v>
      </c>
      <c r="GT34" s="240" t="s">
        <v>890</v>
      </c>
      <c r="GU34" s="240" t="s">
        <v>890</v>
      </c>
      <c r="GV34" s="240"/>
      <c r="GW34" s="240"/>
      <c r="GX34" s="240"/>
      <c r="GY34" s="240"/>
      <c r="GZ34" s="240"/>
      <c r="HA34" s="240"/>
      <c r="HB34" s="240"/>
      <c r="HC34" s="240"/>
      <c r="HD34" s="238"/>
      <c r="HE34" s="240"/>
      <c r="HF34" s="240"/>
      <c r="HG34" s="240"/>
      <c r="HH34" s="240"/>
      <c r="HI34" s="240"/>
      <c r="HJ34" s="238"/>
      <c r="HK34" s="240"/>
      <c r="HL34" s="238"/>
      <c r="HM34" s="241"/>
      <c r="HN34" s="235"/>
      <c r="HO34" s="235"/>
      <c r="HP34" s="235"/>
      <c r="HQ34" s="235"/>
    </row>
    <row r="35" spans="2:225" hidden="1" outlineLevel="1" collapsed="1">
      <c r="B35" s="256"/>
      <c r="C35" s="247" t="s">
        <v>116</v>
      </c>
      <c r="D35" s="236" t="s">
        <v>3148</v>
      </c>
      <c r="E35" s="237"/>
      <c r="F35" s="255"/>
      <c r="G35" s="254"/>
      <c r="H35" s="238"/>
      <c r="I35" s="239"/>
      <c r="J35" s="239"/>
      <c r="K35" s="239"/>
      <c r="L35" s="239"/>
      <c r="M35" s="239"/>
      <c r="N35" s="239"/>
      <c r="O35" s="240"/>
      <c r="P35" s="240"/>
      <c r="Q35" s="240"/>
      <c r="R35" s="240"/>
      <c r="S35" s="240"/>
      <c r="T35" s="240"/>
      <c r="U35" s="240"/>
      <c r="V35" s="240"/>
      <c r="W35" s="240"/>
      <c r="X35" s="238"/>
      <c r="Y35" s="240"/>
      <c r="Z35" s="240"/>
      <c r="AA35" s="240"/>
      <c r="AB35" s="240"/>
      <c r="AC35" s="240"/>
      <c r="AD35" s="240"/>
      <c r="AE35" s="240"/>
      <c r="AF35" s="240"/>
      <c r="AG35" s="240"/>
      <c r="AH35" s="238"/>
      <c r="AI35" s="240"/>
      <c r="AJ35" s="240"/>
      <c r="AK35" s="240"/>
      <c r="AL35" s="240"/>
      <c r="AM35" s="238"/>
      <c r="AN35" s="240"/>
      <c r="AO35" s="240"/>
      <c r="AP35" s="240"/>
      <c r="AQ35" s="238"/>
      <c r="AR35" s="240"/>
      <c r="AS35" s="240"/>
      <c r="AT35" s="240"/>
      <c r="AU35" s="240"/>
      <c r="AV35" s="240"/>
      <c r="AW35" s="240"/>
      <c r="AX35" s="240"/>
      <c r="AY35" s="240"/>
      <c r="AZ35" s="238"/>
      <c r="BA35" s="240"/>
      <c r="BB35" s="240"/>
      <c r="BC35" s="240"/>
      <c r="BD35" s="240"/>
      <c r="BE35" s="240"/>
      <c r="BF35" s="240"/>
      <c r="BG35" s="240"/>
      <c r="BH35" s="240"/>
      <c r="BI35" s="240"/>
      <c r="BJ35" s="240"/>
      <c r="BK35" s="240"/>
      <c r="BL35" s="240"/>
      <c r="BM35" s="240"/>
      <c r="BN35" s="240"/>
      <c r="BO35" s="240"/>
      <c r="BP35" s="238"/>
      <c r="BQ35" s="240"/>
      <c r="BR35" s="240"/>
      <c r="BS35" s="240"/>
      <c r="BT35" s="240"/>
      <c r="BU35" s="240"/>
      <c r="BV35" s="240"/>
      <c r="BW35" s="240"/>
      <c r="BX35" s="240"/>
      <c r="BY35" s="240"/>
      <c r="BZ35" s="240"/>
      <c r="CA35" s="240"/>
      <c r="CB35" s="240"/>
      <c r="CC35" s="240"/>
      <c r="CD35" s="240"/>
      <c r="CE35" s="240"/>
      <c r="CF35" s="238"/>
      <c r="CG35" s="240"/>
      <c r="CH35" s="240"/>
      <c r="CI35" s="240"/>
      <c r="CJ35" s="240"/>
      <c r="CK35" s="240"/>
      <c r="CL35" s="240"/>
      <c r="CM35" s="240"/>
      <c r="CN35" s="240"/>
      <c r="CO35" s="240"/>
      <c r="CP35" s="240"/>
      <c r="CQ35" s="240"/>
      <c r="CR35" s="240"/>
      <c r="CS35" s="238"/>
      <c r="CT35" s="240"/>
      <c r="CU35" s="240"/>
      <c r="CV35" s="240"/>
      <c r="CW35" s="240"/>
      <c r="CX35" s="240"/>
      <c r="CY35" s="240"/>
      <c r="CZ35" s="240"/>
      <c r="DA35" s="240"/>
      <c r="DB35" s="240"/>
      <c r="DC35" s="240"/>
      <c r="DD35" s="240"/>
      <c r="DE35" s="240"/>
      <c r="DF35" s="238"/>
      <c r="DG35" s="240"/>
      <c r="DH35" s="240"/>
      <c r="DI35" s="240"/>
      <c r="DJ35" s="240"/>
      <c r="DK35" s="240"/>
      <c r="DL35" s="240"/>
      <c r="DM35" s="240"/>
      <c r="DN35" s="240"/>
      <c r="DO35" s="240"/>
      <c r="DP35" s="240"/>
      <c r="DQ35" s="240"/>
      <c r="DR35" s="238"/>
      <c r="DS35" s="240"/>
      <c r="DT35" s="240"/>
      <c r="DU35" s="240"/>
      <c r="DV35" s="238"/>
      <c r="DW35" s="240"/>
      <c r="DX35" s="240"/>
      <c r="DY35" s="240"/>
      <c r="DZ35" s="240"/>
      <c r="EA35" s="240"/>
      <c r="EB35" s="240"/>
      <c r="EC35" s="240"/>
      <c r="ED35" s="240"/>
      <c r="EE35" s="240"/>
      <c r="EF35" s="238"/>
      <c r="EG35" s="240"/>
      <c r="EH35" s="240"/>
      <c r="EI35" s="240"/>
      <c r="EJ35" s="238"/>
      <c r="EK35" s="240"/>
      <c r="EL35" s="238"/>
      <c r="EM35" s="240"/>
      <c r="EN35" s="240"/>
      <c r="EO35" s="240"/>
      <c r="EP35" s="240"/>
      <c r="EQ35" s="240"/>
      <c r="ER35" s="240"/>
      <c r="ES35" s="240"/>
      <c r="ET35" s="240"/>
      <c r="EU35" s="240"/>
      <c r="EV35" s="240"/>
      <c r="EW35" s="240"/>
      <c r="EX35" s="238"/>
      <c r="EY35" s="240"/>
      <c r="EZ35" s="240"/>
      <c r="FA35" s="240"/>
      <c r="FB35" s="240"/>
      <c r="FC35" s="240"/>
      <c r="FD35" s="240"/>
      <c r="FE35" s="240"/>
      <c r="FF35" s="240"/>
      <c r="FG35" s="240"/>
      <c r="FH35" s="240"/>
      <c r="FI35" s="240"/>
      <c r="FJ35" s="240"/>
      <c r="FK35" s="240"/>
      <c r="FL35" s="240"/>
      <c r="FM35" s="240"/>
      <c r="FN35" s="240"/>
      <c r="FO35" s="238"/>
      <c r="FP35" s="240"/>
      <c r="FQ35" s="240"/>
      <c r="FR35" s="240"/>
      <c r="FS35" s="240"/>
      <c r="FT35" s="240"/>
      <c r="FU35" s="240"/>
      <c r="FV35" s="240"/>
      <c r="FW35" s="240"/>
      <c r="FX35" s="240"/>
      <c r="FY35" s="240"/>
      <c r="FZ35" s="238"/>
      <c r="GA35" s="240"/>
      <c r="GB35" s="240"/>
      <c r="GC35" s="238"/>
      <c r="GD35" s="240"/>
      <c r="GE35" s="240"/>
      <c r="GF35" s="240"/>
      <c r="GG35" s="240"/>
      <c r="GH35" s="238"/>
      <c r="GI35" s="240"/>
      <c r="GJ35" s="240"/>
      <c r="GK35" s="240"/>
      <c r="GL35" s="240"/>
      <c r="GM35" s="238"/>
      <c r="GN35" s="240"/>
      <c r="GO35" s="240"/>
      <c r="GP35" s="240"/>
      <c r="GQ35" s="240"/>
      <c r="GR35" s="240"/>
      <c r="GS35" s="240"/>
      <c r="GT35" s="240"/>
      <c r="GU35" s="240"/>
      <c r="GV35" s="240"/>
      <c r="GW35" s="240"/>
      <c r="GX35" s="240"/>
      <c r="GY35" s="240"/>
      <c r="GZ35" s="240"/>
      <c r="HA35" s="240"/>
      <c r="HB35" s="240"/>
      <c r="HC35" s="240"/>
      <c r="HD35" s="238"/>
      <c r="HE35" s="240"/>
      <c r="HF35" s="240"/>
      <c r="HG35" s="240"/>
      <c r="HH35" s="240"/>
      <c r="HI35" s="240"/>
      <c r="HJ35" s="238"/>
      <c r="HK35" s="240"/>
      <c r="HL35" s="238"/>
      <c r="HM35" s="241"/>
      <c r="HN35" s="235"/>
      <c r="HO35" s="235"/>
      <c r="HP35" s="235"/>
      <c r="HQ35" s="235"/>
    </row>
    <row r="36" spans="2:225" hidden="1" outlineLevel="1">
      <c r="B36" s="256"/>
      <c r="C36" s="247" t="s">
        <v>116</v>
      </c>
      <c r="D36" s="236" t="s">
        <v>3149</v>
      </c>
      <c r="E36" s="237"/>
      <c r="F36" s="255"/>
      <c r="G36" s="254"/>
      <c r="H36" s="238"/>
      <c r="I36" s="239"/>
      <c r="J36" s="239"/>
      <c r="K36" s="239"/>
      <c r="L36" s="239"/>
      <c r="M36" s="239"/>
      <c r="N36" s="239"/>
      <c r="O36" s="240"/>
      <c r="P36" s="240"/>
      <c r="Q36" s="240"/>
      <c r="R36" s="240"/>
      <c r="S36" s="240"/>
      <c r="T36" s="240"/>
      <c r="U36" s="240"/>
      <c r="V36" s="240"/>
      <c r="W36" s="240"/>
      <c r="X36" s="238"/>
      <c r="Y36" s="240"/>
      <c r="Z36" s="240"/>
      <c r="AA36" s="240"/>
      <c r="AB36" s="240"/>
      <c r="AC36" s="240"/>
      <c r="AD36" s="240"/>
      <c r="AE36" s="240"/>
      <c r="AF36" s="240"/>
      <c r="AG36" s="240"/>
      <c r="AH36" s="238"/>
      <c r="AI36" s="240"/>
      <c r="AJ36" s="240"/>
      <c r="AK36" s="240"/>
      <c r="AL36" s="240"/>
      <c r="AM36" s="238"/>
      <c r="AN36" s="240"/>
      <c r="AO36" s="240"/>
      <c r="AP36" s="240"/>
      <c r="AQ36" s="238"/>
      <c r="AR36" s="240"/>
      <c r="AS36" s="240"/>
      <c r="AT36" s="240"/>
      <c r="AU36" s="240"/>
      <c r="AV36" s="240"/>
      <c r="AW36" s="240"/>
      <c r="AX36" s="240"/>
      <c r="AY36" s="240"/>
      <c r="AZ36" s="238"/>
      <c r="BA36" s="240"/>
      <c r="BB36" s="240"/>
      <c r="BC36" s="240"/>
      <c r="BD36" s="240"/>
      <c r="BE36" s="240"/>
      <c r="BF36" s="240"/>
      <c r="BG36" s="240"/>
      <c r="BH36" s="240"/>
      <c r="BI36" s="240"/>
      <c r="BJ36" s="240"/>
      <c r="BK36" s="240"/>
      <c r="BL36" s="240"/>
      <c r="BM36" s="240"/>
      <c r="BN36" s="240"/>
      <c r="BO36" s="240"/>
      <c r="BP36" s="238"/>
      <c r="BQ36" s="240"/>
      <c r="BR36" s="240"/>
      <c r="BS36" s="240"/>
      <c r="BT36" s="240"/>
      <c r="BU36" s="240"/>
      <c r="BV36" s="240"/>
      <c r="BW36" s="240"/>
      <c r="BX36" s="240"/>
      <c r="BY36" s="240"/>
      <c r="BZ36" s="240"/>
      <c r="CA36" s="240"/>
      <c r="CB36" s="240"/>
      <c r="CC36" s="240"/>
      <c r="CD36" s="240"/>
      <c r="CE36" s="240"/>
      <c r="CF36" s="238"/>
      <c r="CG36" s="240"/>
      <c r="CH36" s="240"/>
      <c r="CI36" s="240"/>
      <c r="CJ36" s="240"/>
      <c r="CK36" s="240"/>
      <c r="CL36" s="240"/>
      <c r="CM36" s="240"/>
      <c r="CN36" s="240"/>
      <c r="CO36" s="240"/>
      <c r="CP36" s="240"/>
      <c r="CQ36" s="240"/>
      <c r="CR36" s="240"/>
      <c r="CS36" s="238"/>
      <c r="CT36" s="240"/>
      <c r="CU36" s="240"/>
      <c r="CV36" s="240"/>
      <c r="CW36" s="240"/>
      <c r="CX36" s="240"/>
      <c r="CY36" s="240"/>
      <c r="CZ36" s="240"/>
      <c r="DA36" s="240"/>
      <c r="DB36" s="240"/>
      <c r="DC36" s="240"/>
      <c r="DD36" s="240"/>
      <c r="DE36" s="240"/>
      <c r="DF36" s="238"/>
      <c r="DG36" s="240"/>
      <c r="DH36" s="240"/>
      <c r="DI36" s="240"/>
      <c r="DJ36" s="240"/>
      <c r="DK36" s="240"/>
      <c r="DL36" s="240"/>
      <c r="DM36" s="240"/>
      <c r="DN36" s="240"/>
      <c r="DO36" s="240"/>
      <c r="DP36" s="240"/>
      <c r="DQ36" s="240"/>
      <c r="DR36" s="238"/>
      <c r="DS36" s="240"/>
      <c r="DT36" s="240"/>
      <c r="DU36" s="240"/>
      <c r="DV36" s="238"/>
      <c r="DW36" s="240"/>
      <c r="DX36" s="240"/>
      <c r="DY36" s="240"/>
      <c r="DZ36" s="240"/>
      <c r="EA36" s="240"/>
      <c r="EB36" s="240"/>
      <c r="EC36" s="240"/>
      <c r="ED36" s="240"/>
      <c r="EE36" s="240"/>
      <c r="EF36" s="238"/>
      <c r="EG36" s="240"/>
      <c r="EH36" s="240"/>
      <c r="EI36" s="240"/>
      <c r="EJ36" s="238"/>
      <c r="EK36" s="240"/>
      <c r="EL36" s="238"/>
      <c r="EM36" s="240"/>
      <c r="EN36" s="240"/>
      <c r="EO36" s="240"/>
      <c r="EP36" s="240"/>
      <c r="EQ36" s="240"/>
      <c r="ER36" s="240"/>
      <c r="ES36" s="240"/>
      <c r="ET36" s="240"/>
      <c r="EU36" s="240"/>
      <c r="EV36" s="240"/>
      <c r="EW36" s="240"/>
      <c r="EX36" s="238"/>
      <c r="EY36" s="240"/>
      <c r="EZ36" s="240"/>
      <c r="FA36" s="240"/>
      <c r="FB36" s="240"/>
      <c r="FC36" s="240"/>
      <c r="FD36" s="240"/>
      <c r="FE36" s="240"/>
      <c r="FF36" s="240"/>
      <c r="FG36" s="240"/>
      <c r="FH36" s="240"/>
      <c r="FI36" s="240"/>
      <c r="FJ36" s="240"/>
      <c r="FK36" s="240"/>
      <c r="FL36" s="240"/>
      <c r="FM36" s="240"/>
      <c r="FN36" s="240"/>
      <c r="FO36" s="238"/>
      <c r="FP36" s="240"/>
      <c r="FQ36" s="240"/>
      <c r="FR36" s="240"/>
      <c r="FS36" s="240"/>
      <c r="FT36" s="240"/>
      <c r="FU36" s="240"/>
      <c r="FV36" s="240"/>
      <c r="FW36" s="240"/>
      <c r="FX36" s="240"/>
      <c r="FY36" s="240"/>
      <c r="FZ36" s="238"/>
      <c r="GA36" s="240"/>
      <c r="GB36" s="240"/>
      <c r="GC36" s="238"/>
      <c r="GD36" s="240"/>
      <c r="GE36" s="240"/>
      <c r="GF36" s="240"/>
      <c r="GG36" s="240"/>
      <c r="GH36" s="238"/>
      <c r="GI36" s="240"/>
      <c r="GJ36" s="240"/>
      <c r="GK36" s="240"/>
      <c r="GL36" s="240"/>
      <c r="GM36" s="238"/>
      <c r="GN36" s="240"/>
      <c r="GO36" s="240"/>
      <c r="GP36" s="240"/>
      <c r="GQ36" s="240"/>
      <c r="GR36" s="240"/>
      <c r="GS36" s="240"/>
      <c r="GT36" s="240"/>
      <c r="GU36" s="240"/>
      <c r="GV36" s="240"/>
      <c r="GW36" s="240"/>
      <c r="GX36" s="240"/>
      <c r="GY36" s="240"/>
      <c r="GZ36" s="240"/>
      <c r="HA36" s="240"/>
      <c r="HB36" s="240"/>
      <c r="HC36" s="240"/>
      <c r="HD36" s="238"/>
      <c r="HE36" s="240"/>
      <c r="HF36" s="240"/>
      <c r="HG36" s="240"/>
      <c r="HH36" s="240"/>
      <c r="HI36" s="240"/>
      <c r="HJ36" s="238"/>
      <c r="HK36" s="240"/>
      <c r="HL36" s="238"/>
      <c r="HM36" s="241"/>
      <c r="HN36" s="235"/>
      <c r="HO36" s="235"/>
      <c r="HP36" s="235"/>
      <c r="HQ36" s="235"/>
    </row>
    <row r="37" spans="2:225" hidden="1" outlineLevel="1">
      <c r="B37" s="256"/>
      <c r="C37" s="247" t="s">
        <v>116</v>
      </c>
      <c r="D37" s="236" t="s">
        <v>3150</v>
      </c>
      <c r="E37" s="248"/>
      <c r="F37" s="253" t="s">
        <v>227</v>
      </c>
      <c r="G37" s="260"/>
      <c r="H37" s="238"/>
      <c r="I37" s="239" t="s">
        <v>890</v>
      </c>
      <c r="J37" s="239"/>
      <c r="K37" s="239"/>
      <c r="L37" s="239"/>
      <c r="M37" s="239"/>
      <c r="N37" s="239"/>
      <c r="O37" s="240"/>
      <c r="P37" s="240"/>
      <c r="Q37" s="240"/>
      <c r="R37" s="240"/>
      <c r="S37" s="240"/>
      <c r="T37" s="240" t="s">
        <v>890</v>
      </c>
      <c r="U37" s="240"/>
      <c r="V37" s="240"/>
      <c r="W37" s="240"/>
      <c r="X37" s="238"/>
      <c r="Y37" s="240"/>
      <c r="Z37" s="240"/>
      <c r="AA37" s="240"/>
      <c r="AB37" s="240"/>
      <c r="AC37" s="240"/>
      <c r="AD37" s="240"/>
      <c r="AE37" s="240"/>
      <c r="AF37" s="240"/>
      <c r="AG37" s="240"/>
      <c r="AH37" s="238"/>
      <c r="AI37" s="240"/>
      <c r="AJ37" s="240"/>
      <c r="AK37" s="240"/>
      <c r="AL37" s="240"/>
      <c r="AM37" s="238"/>
      <c r="AN37" s="240"/>
      <c r="AO37" s="240"/>
      <c r="AP37" s="240"/>
      <c r="AQ37" s="238"/>
      <c r="AR37" s="240"/>
      <c r="AS37" s="240"/>
      <c r="AT37" s="240"/>
      <c r="AU37" s="240"/>
      <c r="AV37" s="240"/>
      <c r="AW37" s="240"/>
      <c r="AX37" s="240"/>
      <c r="AY37" s="240"/>
      <c r="AZ37" s="238"/>
      <c r="BA37" s="240"/>
      <c r="BB37" s="240"/>
      <c r="BC37" s="240"/>
      <c r="BD37" s="240"/>
      <c r="BE37" s="240"/>
      <c r="BF37" s="240"/>
      <c r="BG37" s="240"/>
      <c r="BH37" s="240"/>
      <c r="BI37" s="240"/>
      <c r="BJ37" s="240"/>
      <c r="BK37" s="240"/>
      <c r="BL37" s="240"/>
      <c r="BM37" s="240"/>
      <c r="BN37" s="240"/>
      <c r="BO37" s="240"/>
      <c r="BP37" s="238"/>
      <c r="BQ37" s="240"/>
      <c r="BR37" s="240"/>
      <c r="BS37" s="240"/>
      <c r="BT37" s="240"/>
      <c r="BU37" s="240"/>
      <c r="BV37" s="240"/>
      <c r="BW37" s="240"/>
      <c r="BX37" s="240"/>
      <c r="BY37" s="240"/>
      <c r="BZ37" s="240"/>
      <c r="CA37" s="240"/>
      <c r="CB37" s="240"/>
      <c r="CC37" s="240"/>
      <c r="CD37" s="240"/>
      <c r="CE37" s="240"/>
      <c r="CF37" s="238"/>
      <c r="CG37" s="240"/>
      <c r="CH37" s="240"/>
      <c r="CI37" s="240"/>
      <c r="CJ37" s="240"/>
      <c r="CK37" s="240"/>
      <c r="CL37" s="240"/>
      <c r="CM37" s="240"/>
      <c r="CN37" s="240"/>
      <c r="CO37" s="240"/>
      <c r="CP37" s="240"/>
      <c r="CQ37" s="240"/>
      <c r="CR37" s="240"/>
      <c r="CS37" s="238"/>
      <c r="CT37" s="240"/>
      <c r="CU37" s="240"/>
      <c r="CV37" s="240"/>
      <c r="CW37" s="240"/>
      <c r="CX37" s="240"/>
      <c r="CY37" s="240"/>
      <c r="CZ37" s="240"/>
      <c r="DA37" s="240"/>
      <c r="DB37" s="240"/>
      <c r="DC37" s="240"/>
      <c r="DD37" s="240"/>
      <c r="DE37" s="240"/>
      <c r="DF37" s="238"/>
      <c r="DG37" s="240"/>
      <c r="DH37" s="240"/>
      <c r="DI37" s="240"/>
      <c r="DJ37" s="240"/>
      <c r="DK37" s="240"/>
      <c r="DL37" s="240"/>
      <c r="DM37" s="240"/>
      <c r="DN37" s="240"/>
      <c r="DO37" s="240"/>
      <c r="DP37" s="240"/>
      <c r="DQ37" s="240"/>
      <c r="DR37" s="238"/>
      <c r="DS37" s="240"/>
      <c r="DT37" s="240"/>
      <c r="DU37" s="240"/>
      <c r="DV37" s="238"/>
      <c r="DW37" s="240"/>
      <c r="DX37" s="240"/>
      <c r="DY37" s="240"/>
      <c r="DZ37" s="240"/>
      <c r="EA37" s="240"/>
      <c r="EB37" s="240"/>
      <c r="EC37" s="240"/>
      <c r="ED37" s="240"/>
      <c r="EE37" s="240"/>
      <c r="EF37" s="238"/>
      <c r="EG37" s="240"/>
      <c r="EH37" s="240"/>
      <c r="EI37" s="240"/>
      <c r="EJ37" s="238"/>
      <c r="EK37" s="240"/>
      <c r="EL37" s="238"/>
      <c r="EM37" s="240"/>
      <c r="EN37" s="240"/>
      <c r="EO37" s="240"/>
      <c r="EP37" s="240"/>
      <c r="EQ37" s="240"/>
      <c r="ER37" s="240"/>
      <c r="ES37" s="240"/>
      <c r="ET37" s="240"/>
      <c r="EU37" s="240"/>
      <c r="EV37" s="240"/>
      <c r="EW37" s="240"/>
      <c r="EX37" s="238"/>
      <c r="EY37" s="240"/>
      <c r="EZ37" s="240"/>
      <c r="FA37" s="240"/>
      <c r="FB37" s="240"/>
      <c r="FC37" s="240"/>
      <c r="FD37" s="240"/>
      <c r="FE37" s="240"/>
      <c r="FF37" s="240"/>
      <c r="FG37" s="240"/>
      <c r="FH37" s="240"/>
      <c r="FI37" s="240"/>
      <c r="FJ37" s="240"/>
      <c r="FK37" s="240"/>
      <c r="FL37" s="240"/>
      <c r="FM37" s="240"/>
      <c r="FN37" s="240"/>
      <c r="FO37" s="238"/>
      <c r="FP37" s="240"/>
      <c r="FQ37" s="240"/>
      <c r="FR37" s="240"/>
      <c r="FS37" s="240"/>
      <c r="FT37" s="240"/>
      <c r="FU37" s="240"/>
      <c r="FV37" s="240"/>
      <c r="FW37" s="240"/>
      <c r="FX37" s="240"/>
      <c r="FY37" s="240"/>
      <c r="FZ37" s="238"/>
      <c r="GA37" s="240" t="s">
        <v>890</v>
      </c>
      <c r="GB37" s="240"/>
      <c r="GC37" s="238"/>
      <c r="GD37" s="240"/>
      <c r="GE37" s="240"/>
      <c r="GF37" s="240"/>
      <c r="GG37" s="240"/>
      <c r="GH37" s="238"/>
      <c r="GI37" s="240"/>
      <c r="GJ37" s="240"/>
      <c r="GK37" s="240"/>
      <c r="GL37" s="240"/>
      <c r="GM37" s="238"/>
      <c r="GN37" s="240"/>
      <c r="GO37" s="240"/>
      <c r="GP37" s="240"/>
      <c r="GQ37" s="240"/>
      <c r="GR37" s="240"/>
      <c r="GS37" s="240"/>
      <c r="GT37" s="240"/>
      <c r="GU37" s="240"/>
      <c r="GV37" s="240"/>
      <c r="GW37" s="240"/>
      <c r="GX37" s="240"/>
      <c r="GY37" s="240"/>
      <c r="GZ37" s="240"/>
      <c r="HA37" s="240"/>
      <c r="HB37" s="240"/>
      <c r="HC37" s="240"/>
      <c r="HD37" s="238"/>
      <c r="HE37" s="240"/>
      <c r="HF37" s="240"/>
      <c r="HG37" s="240"/>
      <c r="HH37" s="240"/>
      <c r="HI37" s="240"/>
      <c r="HJ37" s="238"/>
      <c r="HK37" s="240"/>
      <c r="HL37" s="238"/>
      <c r="HM37" s="241"/>
      <c r="HN37" s="235"/>
      <c r="HO37" s="235"/>
      <c r="HP37" s="235"/>
      <c r="HQ37" s="235"/>
    </row>
    <row r="38" spans="2:225" hidden="1" outlineLevel="1">
      <c r="B38" s="256"/>
      <c r="C38" s="247" t="s">
        <v>116</v>
      </c>
      <c r="D38" s="236" t="s">
        <v>3151</v>
      </c>
      <c r="E38" s="248"/>
      <c r="F38" s="253" t="str">
        <f>IF(E38='3. Dropdowns'!C63,"","Execution")</f>
        <v>Execution</v>
      </c>
      <c r="G38" s="261"/>
      <c r="H38" s="238"/>
      <c r="I38" s="239"/>
      <c r="J38" s="239"/>
      <c r="K38" s="239"/>
      <c r="L38" s="239"/>
      <c r="M38" s="239"/>
      <c r="N38" s="239"/>
      <c r="O38" s="240"/>
      <c r="P38" s="240"/>
      <c r="Q38" s="240"/>
      <c r="R38" s="240"/>
      <c r="S38" s="240"/>
      <c r="T38" s="240" t="s">
        <v>890</v>
      </c>
      <c r="U38" s="240"/>
      <c r="V38" s="240"/>
      <c r="W38" s="240"/>
      <c r="X38" s="238"/>
      <c r="Y38" s="240"/>
      <c r="Z38" s="240"/>
      <c r="AA38" s="240"/>
      <c r="AB38" s="240"/>
      <c r="AC38" s="240"/>
      <c r="AD38" s="240"/>
      <c r="AE38" s="240"/>
      <c r="AF38" s="240"/>
      <c r="AG38" s="240"/>
      <c r="AH38" s="238"/>
      <c r="AI38" s="240"/>
      <c r="AJ38" s="240"/>
      <c r="AK38" s="240"/>
      <c r="AL38" s="240"/>
      <c r="AM38" s="238"/>
      <c r="AN38" s="240"/>
      <c r="AO38" s="240"/>
      <c r="AP38" s="240"/>
      <c r="AQ38" s="238"/>
      <c r="AR38" s="240"/>
      <c r="AS38" s="240"/>
      <c r="AT38" s="240"/>
      <c r="AU38" s="240"/>
      <c r="AV38" s="240"/>
      <c r="AW38" s="240"/>
      <c r="AX38" s="240"/>
      <c r="AY38" s="240"/>
      <c r="AZ38" s="238"/>
      <c r="BA38" s="240"/>
      <c r="BB38" s="240"/>
      <c r="BC38" s="240"/>
      <c r="BD38" s="240"/>
      <c r="BE38" s="240"/>
      <c r="BF38" s="240"/>
      <c r="BG38" s="240"/>
      <c r="BH38" s="240"/>
      <c r="BI38" s="240"/>
      <c r="BJ38" s="240"/>
      <c r="BK38" s="240"/>
      <c r="BL38" s="240"/>
      <c r="BM38" s="240"/>
      <c r="BN38" s="240"/>
      <c r="BO38" s="240"/>
      <c r="BP38" s="238"/>
      <c r="BQ38" s="240"/>
      <c r="BR38" s="240"/>
      <c r="BS38" s="240"/>
      <c r="BT38" s="240"/>
      <c r="BU38" s="240"/>
      <c r="BV38" s="240"/>
      <c r="BW38" s="240"/>
      <c r="BX38" s="240"/>
      <c r="BY38" s="240"/>
      <c r="BZ38" s="240"/>
      <c r="CA38" s="240"/>
      <c r="CB38" s="240"/>
      <c r="CC38" s="240"/>
      <c r="CD38" s="240"/>
      <c r="CE38" s="240"/>
      <c r="CF38" s="238"/>
      <c r="CG38" s="240"/>
      <c r="CH38" s="240"/>
      <c r="CI38" s="240"/>
      <c r="CJ38" s="240"/>
      <c r="CK38" s="240"/>
      <c r="CL38" s="240"/>
      <c r="CM38" s="240"/>
      <c r="CN38" s="240"/>
      <c r="CO38" s="240"/>
      <c r="CP38" s="240"/>
      <c r="CQ38" s="240"/>
      <c r="CR38" s="240"/>
      <c r="CS38" s="238"/>
      <c r="CT38" s="240"/>
      <c r="CU38" s="240"/>
      <c r="CV38" s="240"/>
      <c r="CW38" s="240"/>
      <c r="CX38" s="240"/>
      <c r="CY38" s="240"/>
      <c r="CZ38" s="240"/>
      <c r="DA38" s="240"/>
      <c r="DB38" s="240"/>
      <c r="DC38" s="240"/>
      <c r="DD38" s="240"/>
      <c r="DE38" s="240"/>
      <c r="DF38" s="238"/>
      <c r="DG38" s="240"/>
      <c r="DH38" s="240"/>
      <c r="DI38" s="240"/>
      <c r="DJ38" s="240"/>
      <c r="DK38" s="240"/>
      <c r="DL38" s="240"/>
      <c r="DM38" s="240"/>
      <c r="DN38" s="240"/>
      <c r="DO38" s="240"/>
      <c r="DP38" s="240"/>
      <c r="DQ38" s="240"/>
      <c r="DR38" s="238"/>
      <c r="DS38" s="240"/>
      <c r="DT38" s="240"/>
      <c r="DU38" s="240"/>
      <c r="DV38" s="238"/>
      <c r="DW38" s="240"/>
      <c r="DX38" s="240"/>
      <c r="DY38" s="240"/>
      <c r="DZ38" s="240"/>
      <c r="EA38" s="240"/>
      <c r="EB38" s="240"/>
      <c r="EC38" s="240"/>
      <c r="ED38" s="240"/>
      <c r="EE38" s="240"/>
      <c r="EF38" s="238"/>
      <c r="EG38" s="240"/>
      <c r="EH38" s="240"/>
      <c r="EI38" s="240"/>
      <c r="EJ38" s="238"/>
      <c r="EK38" s="240"/>
      <c r="EL38" s="238"/>
      <c r="EM38" s="240"/>
      <c r="EN38" s="240"/>
      <c r="EO38" s="240"/>
      <c r="EP38" s="240"/>
      <c r="EQ38" s="240"/>
      <c r="ER38" s="240"/>
      <c r="ES38" s="240"/>
      <c r="ET38" s="240"/>
      <c r="EU38" s="240"/>
      <c r="EV38" s="240"/>
      <c r="EW38" s="240"/>
      <c r="EX38" s="238"/>
      <c r="EY38" s="240"/>
      <c r="EZ38" s="240"/>
      <c r="FA38" s="240"/>
      <c r="FB38" s="240"/>
      <c r="FC38" s="240"/>
      <c r="FD38" s="240"/>
      <c r="FE38" s="240"/>
      <c r="FF38" s="240"/>
      <c r="FG38" s="240"/>
      <c r="FH38" s="240"/>
      <c r="FI38" s="240"/>
      <c r="FJ38" s="240"/>
      <c r="FK38" s="240"/>
      <c r="FL38" s="240"/>
      <c r="FM38" s="240"/>
      <c r="FN38" s="240"/>
      <c r="FO38" s="238"/>
      <c r="FP38" s="240"/>
      <c r="FQ38" s="240"/>
      <c r="FR38" s="240"/>
      <c r="FS38" s="240"/>
      <c r="FT38" s="240"/>
      <c r="FU38" s="240"/>
      <c r="FV38" s="240"/>
      <c r="FW38" s="240"/>
      <c r="FX38" s="240"/>
      <c r="FY38" s="240"/>
      <c r="FZ38" s="238"/>
      <c r="GA38" s="240" t="s">
        <v>890</v>
      </c>
      <c r="GB38" s="240"/>
      <c r="GC38" s="238"/>
      <c r="GD38" s="240"/>
      <c r="GE38" s="240"/>
      <c r="GF38" s="240"/>
      <c r="GG38" s="240"/>
      <c r="GH38" s="238"/>
      <c r="GI38" s="240"/>
      <c r="GJ38" s="240"/>
      <c r="GK38" s="240"/>
      <c r="GL38" s="240"/>
      <c r="GM38" s="238"/>
      <c r="GN38" s="240"/>
      <c r="GO38" s="240"/>
      <c r="GP38" s="240"/>
      <c r="GQ38" s="240"/>
      <c r="GR38" s="240"/>
      <c r="GS38" s="240"/>
      <c r="GT38" s="240"/>
      <c r="GU38" s="240"/>
      <c r="GV38" s="240"/>
      <c r="GW38" s="240"/>
      <c r="GX38" s="240"/>
      <c r="GY38" s="240"/>
      <c r="GZ38" s="240"/>
      <c r="HA38" s="240"/>
      <c r="HB38" s="240"/>
      <c r="HC38" s="240"/>
      <c r="HD38" s="238"/>
      <c r="HE38" s="240"/>
      <c r="HF38" s="240"/>
      <c r="HG38" s="240"/>
      <c r="HH38" s="240"/>
      <c r="HI38" s="240"/>
      <c r="HJ38" s="238"/>
      <c r="HK38" s="240"/>
      <c r="HL38" s="238"/>
      <c r="HM38" s="241"/>
      <c r="HN38" s="235"/>
      <c r="HO38" s="235"/>
      <c r="HP38" s="235"/>
      <c r="HQ38" s="235"/>
    </row>
    <row r="39" spans="2:225" hidden="1" outlineLevel="1">
      <c r="B39" s="256"/>
      <c r="C39" s="247" t="s">
        <v>116</v>
      </c>
      <c r="D39" s="236" t="s">
        <v>3152</v>
      </c>
      <c r="E39" s="248"/>
      <c r="F39" s="255" t="str">
        <f>IF(E39='3. Dropdowns'!C65,"","Execution")</f>
        <v>Execution</v>
      </c>
      <c r="G39" s="261"/>
      <c r="H39" s="242"/>
      <c r="I39" s="262"/>
      <c r="J39" s="262"/>
      <c r="K39" s="262"/>
      <c r="L39" s="262"/>
      <c r="M39" s="262"/>
      <c r="N39" s="262"/>
      <c r="O39" s="263"/>
      <c r="P39" s="263"/>
      <c r="Q39" s="263"/>
      <c r="R39" s="263"/>
      <c r="S39" s="263"/>
      <c r="T39" s="263" t="s">
        <v>890</v>
      </c>
      <c r="U39" s="263"/>
      <c r="V39" s="263"/>
      <c r="W39" s="263"/>
      <c r="X39" s="242"/>
      <c r="Y39" s="263" t="s">
        <v>890</v>
      </c>
      <c r="Z39" s="263"/>
      <c r="AA39" s="263"/>
      <c r="AB39" s="263"/>
      <c r="AC39" s="263"/>
      <c r="AD39" s="263" t="s">
        <v>890</v>
      </c>
      <c r="AE39" s="263"/>
      <c r="AF39" s="263"/>
      <c r="AG39" s="263"/>
      <c r="AH39" s="242"/>
      <c r="AI39" s="263"/>
      <c r="AJ39" s="263"/>
      <c r="AK39" s="263"/>
      <c r="AL39" s="263"/>
      <c r="AM39" s="242"/>
      <c r="AN39" s="263"/>
      <c r="AO39" s="263"/>
      <c r="AP39" s="263"/>
      <c r="AQ39" s="242"/>
      <c r="AR39" s="263"/>
      <c r="AS39" s="263"/>
      <c r="AT39" s="263"/>
      <c r="AU39" s="263"/>
      <c r="AV39" s="263"/>
      <c r="AW39" s="263"/>
      <c r="AX39" s="263"/>
      <c r="AY39" s="263"/>
      <c r="AZ39" s="242"/>
      <c r="BA39" s="263"/>
      <c r="BB39" s="263"/>
      <c r="BC39" s="263"/>
      <c r="BD39" s="263"/>
      <c r="BE39" s="263"/>
      <c r="BF39" s="263"/>
      <c r="BG39" s="263"/>
      <c r="BH39" s="263"/>
      <c r="BI39" s="263"/>
      <c r="BJ39" s="263"/>
      <c r="BK39" s="263"/>
      <c r="BL39" s="263"/>
      <c r="BM39" s="263"/>
      <c r="BN39" s="263"/>
      <c r="BO39" s="263"/>
      <c r="BP39" s="242"/>
      <c r="BQ39" s="263"/>
      <c r="BR39" s="263"/>
      <c r="BS39" s="263"/>
      <c r="BT39" s="263"/>
      <c r="BU39" s="263"/>
      <c r="BV39" s="263"/>
      <c r="BW39" s="263"/>
      <c r="BX39" s="263"/>
      <c r="BY39" s="263"/>
      <c r="BZ39" s="263"/>
      <c r="CA39" s="263"/>
      <c r="CB39" s="263"/>
      <c r="CC39" s="263"/>
      <c r="CD39" s="263"/>
      <c r="CE39" s="263"/>
      <c r="CF39" s="242"/>
      <c r="CG39" s="263"/>
      <c r="CH39" s="263"/>
      <c r="CI39" s="263"/>
      <c r="CJ39" s="263"/>
      <c r="CK39" s="263"/>
      <c r="CL39" s="263"/>
      <c r="CM39" s="263"/>
      <c r="CN39" s="263"/>
      <c r="CO39" s="263"/>
      <c r="CP39" s="263"/>
      <c r="CQ39" s="263"/>
      <c r="CR39" s="263"/>
      <c r="CS39" s="242"/>
      <c r="CT39" s="263"/>
      <c r="CU39" s="263"/>
      <c r="CV39" s="263"/>
      <c r="CW39" s="263"/>
      <c r="CX39" s="263"/>
      <c r="CY39" s="263"/>
      <c r="CZ39" s="263"/>
      <c r="DA39" s="263"/>
      <c r="DB39" s="263"/>
      <c r="DC39" s="263"/>
      <c r="DD39" s="263"/>
      <c r="DE39" s="263"/>
      <c r="DF39" s="242"/>
      <c r="DG39" s="263"/>
      <c r="DH39" s="263"/>
      <c r="DI39" s="263"/>
      <c r="DJ39" s="263"/>
      <c r="DK39" s="263"/>
      <c r="DL39" s="263"/>
      <c r="DM39" s="263"/>
      <c r="DN39" s="263"/>
      <c r="DO39" s="263"/>
      <c r="DP39" s="263"/>
      <c r="DQ39" s="263"/>
      <c r="DR39" s="242"/>
      <c r="DS39" s="263"/>
      <c r="DT39" s="263"/>
      <c r="DU39" s="263"/>
      <c r="DV39" s="242"/>
      <c r="DW39" s="263"/>
      <c r="DX39" s="263"/>
      <c r="DY39" s="263"/>
      <c r="DZ39" s="263"/>
      <c r="EA39" s="263"/>
      <c r="EB39" s="263"/>
      <c r="EC39" s="263"/>
      <c r="ED39" s="263"/>
      <c r="EE39" s="263"/>
      <c r="EF39" s="242"/>
      <c r="EG39" s="263"/>
      <c r="EH39" s="263"/>
      <c r="EI39" s="263"/>
      <c r="EJ39" s="242"/>
      <c r="EK39" s="263"/>
      <c r="EL39" s="242"/>
      <c r="EM39" s="263"/>
      <c r="EN39" s="263"/>
      <c r="EO39" s="263"/>
      <c r="EP39" s="263"/>
      <c r="EQ39" s="263"/>
      <c r="ER39" s="263"/>
      <c r="ES39" s="263"/>
      <c r="ET39" s="263"/>
      <c r="EU39" s="263"/>
      <c r="EV39" s="263"/>
      <c r="EW39" s="263"/>
      <c r="EX39" s="242"/>
      <c r="EY39" s="263"/>
      <c r="EZ39" s="263"/>
      <c r="FA39" s="263"/>
      <c r="FB39" s="263"/>
      <c r="FC39" s="263"/>
      <c r="FD39" s="263"/>
      <c r="FE39" s="263"/>
      <c r="FF39" s="263"/>
      <c r="FG39" s="263"/>
      <c r="FH39" s="263"/>
      <c r="FI39" s="263"/>
      <c r="FJ39" s="263"/>
      <c r="FK39" s="263"/>
      <c r="FL39" s="263"/>
      <c r="FM39" s="263"/>
      <c r="FN39" s="263"/>
      <c r="FO39" s="242"/>
      <c r="FP39" s="263"/>
      <c r="FQ39" s="263"/>
      <c r="FR39" s="263"/>
      <c r="FS39" s="263"/>
      <c r="FT39" s="263"/>
      <c r="FU39" s="263"/>
      <c r="FV39" s="263"/>
      <c r="FW39" s="263"/>
      <c r="FX39" s="263"/>
      <c r="FY39" s="263"/>
      <c r="FZ39" s="242"/>
      <c r="GA39" s="263"/>
      <c r="GB39" s="263"/>
      <c r="GC39" s="242"/>
      <c r="GD39" s="263"/>
      <c r="GE39" s="263"/>
      <c r="GF39" s="263"/>
      <c r="GG39" s="240"/>
      <c r="GH39" s="242"/>
      <c r="GI39" s="240"/>
      <c r="GJ39" s="240"/>
      <c r="GK39" s="240"/>
      <c r="GL39" s="240"/>
      <c r="GM39" s="242"/>
      <c r="GN39" s="240"/>
      <c r="GO39" s="240"/>
      <c r="GP39" s="240"/>
      <c r="GQ39" s="240"/>
      <c r="GR39" s="240"/>
      <c r="GS39" s="240"/>
      <c r="GT39" s="240"/>
      <c r="GU39" s="240"/>
      <c r="GV39" s="240"/>
      <c r="GW39" s="240"/>
      <c r="GX39" s="240"/>
      <c r="GY39" s="240"/>
      <c r="GZ39" s="240"/>
      <c r="HA39" s="240"/>
      <c r="HB39" s="240"/>
      <c r="HC39" s="240"/>
      <c r="HD39" s="242"/>
      <c r="HE39" s="240"/>
      <c r="HF39" s="240"/>
      <c r="HG39" s="240"/>
      <c r="HH39" s="240"/>
      <c r="HI39" s="240"/>
      <c r="HJ39" s="242"/>
      <c r="HK39" s="240"/>
      <c r="HL39" s="242"/>
      <c r="HM39" s="241"/>
      <c r="HN39" s="235"/>
      <c r="HO39" s="235"/>
      <c r="HP39" s="235"/>
      <c r="HQ39" s="235"/>
    </row>
    <row r="40" spans="2:225" collapsed="1">
      <c r="B40" s="256"/>
      <c r="C40" s="247" t="s">
        <v>116</v>
      </c>
      <c r="D40" s="220" t="s">
        <v>97</v>
      </c>
      <c r="E40" s="221"/>
      <c r="F40" s="264"/>
      <c r="G40" s="26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4"/>
      <c r="BR40" s="224"/>
      <c r="BS40" s="224"/>
      <c r="BT40" s="224"/>
      <c r="BU40" s="224"/>
      <c r="BV40" s="224"/>
      <c r="BW40" s="224"/>
      <c r="BX40" s="224"/>
      <c r="BY40" s="224"/>
      <c r="BZ40" s="224"/>
      <c r="CA40" s="224"/>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24"/>
      <c r="DS40" s="224"/>
      <c r="DT40" s="224"/>
      <c r="DU40" s="224"/>
      <c r="DV40" s="224"/>
      <c r="DW40" s="224"/>
      <c r="DX40" s="224"/>
      <c r="DY40" s="224"/>
      <c r="DZ40" s="224"/>
      <c r="EA40" s="224"/>
      <c r="EB40" s="224"/>
      <c r="EC40" s="224"/>
      <c r="ED40" s="224"/>
      <c r="EE40" s="224"/>
      <c r="EF40" s="224"/>
      <c r="EG40" s="224"/>
      <c r="EH40" s="224"/>
      <c r="EI40" s="224"/>
      <c r="EJ40" s="224"/>
      <c r="EK40" s="224"/>
      <c r="EL40" s="224"/>
      <c r="EM40" s="224"/>
      <c r="EN40" s="224"/>
      <c r="EO40" s="224"/>
      <c r="EP40" s="224"/>
      <c r="EQ40" s="224"/>
      <c r="ER40" s="224"/>
      <c r="ES40" s="224"/>
      <c r="ET40" s="224"/>
      <c r="EU40" s="224"/>
      <c r="EV40" s="224"/>
      <c r="EW40" s="224"/>
      <c r="EX40" s="224"/>
      <c r="EY40" s="224"/>
      <c r="EZ40" s="224"/>
      <c r="FA40" s="224"/>
      <c r="FB40" s="224"/>
      <c r="FC40" s="224"/>
      <c r="FD40" s="224"/>
      <c r="FE40" s="224"/>
      <c r="FF40" s="224"/>
      <c r="FG40" s="224"/>
      <c r="FH40" s="224"/>
      <c r="FI40" s="224"/>
      <c r="FJ40" s="224"/>
      <c r="FK40" s="224"/>
      <c r="FL40" s="224"/>
      <c r="FM40" s="224"/>
      <c r="FN40" s="224"/>
      <c r="FO40" s="224"/>
      <c r="FP40" s="224"/>
      <c r="FQ40" s="224"/>
      <c r="FR40" s="224"/>
      <c r="FS40" s="224"/>
      <c r="FT40" s="224"/>
      <c r="FU40" s="224"/>
      <c r="FV40" s="224"/>
      <c r="FW40" s="224"/>
      <c r="FX40" s="224"/>
      <c r="FY40" s="224"/>
      <c r="FZ40" s="224"/>
      <c r="GA40" s="224"/>
      <c r="GB40" s="224"/>
      <c r="GC40" s="224"/>
      <c r="GD40" s="224"/>
      <c r="GE40" s="224"/>
      <c r="GF40" s="224"/>
      <c r="GG40" s="224"/>
      <c r="GH40" s="224"/>
      <c r="GI40" s="224"/>
      <c r="GJ40" s="224"/>
      <c r="GK40" s="224"/>
      <c r="GL40" s="224"/>
      <c r="GM40" s="224"/>
      <c r="GN40" s="224"/>
      <c r="GO40" s="224"/>
      <c r="GP40" s="224"/>
      <c r="GQ40" s="224"/>
      <c r="GR40" s="224"/>
      <c r="GS40" s="224"/>
      <c r="GT40" s="224"/>
      <c r="GU40" s="224"/>
      <c r="GV40" s="224"/>
      <c r="GW40" s="224"/>
      <c r="GX40" s="224"/>
      <c r="GY40" s="224"/>
      <c r="GZ40" s="224"/>
      <c r="HA40" s="224"/>
      <c r="HB40" s="224"/>
      <c r="HC40" s="224"/>
      <c r="HD40" s="224"/>
      <c r="HE40" s="224"/>
      <c r="HF40" s="224"/>
      <c r="HG40" s="224"/>
      <c r="HH40" s="224"/>
      <c r="HI40" s="224"/>
      <c r="HJ40" s="224"/>
      <c r="HK40" s="224"/>
      <c r="HL40" s="224"/>
      <c r="HM40" s="265"/>
      <c r="HN40" s="235"/>
      <c r="HO40" s="235"/>
      <c r="HP40" s="235"/>
      <c r="HQ40" s="235"/>
    </row>
    <row r="41" spans="2:225" ht="37.5" hidden="1" outlineLevel="1">
      <c r="B41" s="256"/>
      <c r="C41" s="247" t="s">
        <v>116</v>
      </c>
      <c r="D41" s="236" t="s">
        <v>3153</v>
      </c>
      <c r="E41" s="248"/>
      <c r="F41" s="253" t="str">
        <f>IF(F5='3. Dropdowns'!C12,"Execution","Submittals, Execution")</f>
        <v>Submittals, Execution</v>
      </c>
      <c r="G41" s="266"/>
      <c r="H41" s="231"/>
      <c r="I41" s="232" t="s">
        <v>890</v>
      </c>
      <c r="J41" s="233" t="s">
        <v>890</v>
      </c>
      <c r="K41" s="233"/>
      <c r="L41" s="233"/>
      <c r="M41" s="233"/>
      <c r="N41" s="233"/>
      <c r="O41" s="267" t="s">
        <v>890</v>
      </c>
      <c r="P41" s="267"/>
      <c r="Q41" s="267"/>
      <c r="R41" s="267"/>
      <c r="S41" s="267"/>
      <c r="T41" s="267" t="s">
        <v>890</v>
      </c>
      <c r="U41" s="267"/>
      <c r="V41" s="267"/>
      <c r="W41" s="267"/>
      <c r="X41" s="231"/>
      <c r="Y41" s="267"/>
      <c r="Z41" s="267"/>
      <c r="AA41" s="267"/>
      <c r="AB41" s="267"/>
      <c r="AC41" s="267"/>
      <c r="AD41" s="267"/>
      <c r="AE41" s="267"/>
      <c r="AF41" s="267"/>
      <c r="AG41" s="267"/>
      <c r="AH41" s="231"/>
      <c r="AI41" s="267"/>
      <c r="AJ41" s="267"/>
      <c r="AK41" s="267"/>
      <c r="AL41" s="267"/>
      <c r="AM41" s="231"/>
      <c r="AN41" s="267"/>
      <c r="AO41" s="267"/>
      <c r="AP41" s="267"/>
      <c r="AQ41" s="231"/>
      <c r="AR41" s="267"/>
      <c r="AS41" s="267"/>
      <c r="AT41" s="267"/>
      <c r="AU41" s="267"/>
      <c r="AV41" s="267"/>
      <c r="AW41" s="267"/>
      <c r="AX41" s="267"/>
      <c r="AY41" s="267"/>
      <c r="AZ41" s="231"/>
      <c r="BA41" s="267"/>
      <c r="BB41" s="267"/>
      <c r="BC41" s="267"/>
      <c r="BD41" s="267"/>
      <c r="BE41" s="267"/>
      <c r="BF41" s="267"/>
      <c r="BG41" s="267"/>
      <c r="BH41" s="267"/>
      <c r="BI41" s="267"/>
      <c r="BJ41" s="267"/>
      <c r="BK41" s="267"/>
      <c r="BL41" s="267"/>
      <c r="BM41" s="267"/>
      <c r="BN41" s="267"/>
      <c r="BO41" s="267"/>
      <c r="BP41" s="231"/>
      <c r="BQ41" s="267"/>
      <c r="BR41" s="267"/>
      <c r="BS41" s="267"/>
      <c r="BT41" s="267"/>
      <c r="BU41" s="267"/>
      <c r="BV41" s="267"/>
      <c r="BW41" s="267"/>
      <c r="BX41" s="267"/>
      <c r="BY41" s="267"/>
      <c r="BZ41" s="267"/>
      <c r="CA41" s="267"/>
      <c r="CB41" s="267"/>
      <c r="CC41" s="267"/>
      <c r="CD41" s="267"/>
      <c r="CE41" s="267"/>
      <c r="CF41" s="231"/>
      <c r="CG41" s="267"/>
      <c r="CH41" s="267"/>
      <c r="CI41" s="267"/>
      <c r="CJ41" s="267"/>
      <c r="CK41" s="267"/>
      <c r="CL41" s="267"/>
      <c r="CM41" s="267"/>
      <c r="CN41" s="267"/>
      <c r="CO41" s="267"/>
      <c r="CP41" s="267"/>
      <c r="CQ41" s="267"/>
      <c r="CR41" s="267"/>
      <c r="CS41" s="231"/>
      <c r="CT41" s="267"/>
      <c r="CU41" s="267"/>
      <c r="CV41" s="267"/>
      <c r="CW41" s="267"/>
      <c r="CX41" s="267"/>
      <c r="CY41" s="267"/>
      <c r="CZ41" s="267"/>
      <c r="DA41" s="267"/>
      <c r="DB41" s="267"/>
      <c r="DC41" s="267"/>
      <c r="DD41" s="267"/>
      <c r="DE41" s="267"/>
      <c r="DF41" s="231"/>
      <c r="DG41" s="267"/>
      <c r="DH41" s="267"/>
      <c r="DI41" s="267"/>
      <c r="DJ41" s="267"/>
      <c r="DK41" s="267"/>
      <c r="DL41" s="267"/>
      <c r="DM41" s="267"/>
      <c r="DN41" s="267"/>
      <c r="DO41" s="267"/>
      <c r="DP41" s="267"/>
      <c r="DQ41" s="267"/>
      <c r="DR41" s="231"/>
      <c r="DS41" s="267"/>
      <c r="DT41" s="267"/>
      <c r="DU41" s="267"/>
      <c r="DV41" s="231"/>
      <c r="DW41" s="267"/>
      <c r="DX41" s="267"/>
      <c r="DY41" s="267"/>
      <c r="DZ41" s="267"/>
      <c r="EA41" s="267"/>
      <c r="EB41" s="267"/>
      <c r="EC41" s="267"/>
      <c r="ED41" s="267"/>
      <c r="EE41" s="267"/>
      <c r="EF41" s="231"/>
      <c r="EG41" s="267"/>
      <c r="EH41" s="267"/>
      <c r="EI41" s="267"/>
      <c r="EJ41" s="231"/>
      <c r="EK41" s="267"/>
      <c r="EL41" s="231"/>
      <c r="EM41" s="267"/>
      <c r="EN41" s="267"/>
      <c r="EO41" s="267"/>
      <c r="EP41" s="267"/>
      <c r="EQ41" s="267"/>
      <c r="ER41" s="267"/>
      <c r="ES41" s="267"/>
      <c r="ET41" s="267"/>
      <c r="EU41" s="267"/>
      <c r="EV41" s="267"/>
      <c r="EW41" s="267"/>
      <c r="EX41" s="231"/>
      <c r="EY41" s="267"/>
      <c r="EZ41" s="267"/>
      <c r="FA41" s="267"/>
      <c r="FB41" s="267"/>
      <c r="FC41" s="267"/>
      <c r="FD41" s="267"/>
      <c r="FE41" s="267"/>
      <c r="FF41" s="267"/>
      <c r="FG41" s="267"/>
      <c r="FH41" s="267"/>
      <c r="FI41" s="267"/>
      <c r="FJ41" s="267"/>
      <c r="FK41" s="267"/>
      <c r="FL41" s="267"/>
      <c r="FM41" s="267"/>
      <c r="FN41" s="267"/>
      <c r="FO41" s="231"/>
      <c r="FP41" s="267"/>
      <c r="FQ41" s="267"/>
      <c r="FR41" s="267"/>
      <c r="FS41" s="267"/>
      <c r="FT41" s="267"/>
      <c r="FU41" s="267"/>
      <c r="FV41" s="267"/>
      <c r="FW41" s="267"/>
      <c r="FX41" s="267"/>
      <c r="FY41" s="267"/>
      <c r="FZ41" s="231"/>
      <c r="GA41" s="267"/>
      <c r="GB41" s="233"/>
      <c r="GC41" s="231"/>
      <c r="GD41" s="233"/>
      <c r="GE41" s="233"/>
      <c r="GF41" s="233"/>
      <c r="GG41" s="233"/>
      <c r="GH41" s="231"/>
      <c r="GI41" s="233" t="s">
        <v>890</v>
      </c>
      <c r="GJ41" s="233"/>
      <c r="GK41" s="233" t="s">
        <v>890</v>
      </c>
      <c r="GL41" s="233"/>
      <c r="GM41" s="231"/>
      <c r="GN41" s="233"/>
      <c r="GO41" s="233"/>
      <c r="GP41" s="233"/>
      <c r="GQ41" s="233"/>
      <c r="GR41" s="233"/>
      <c r="GS41" s="233"/>
      <c r="GT41" s="233"/>
      <c r="GU41" s="233"/>
      <c r="GV41" s="233"/>
      <c r="GW41" s="233"/>
      <c r="GX41" s="233"/>
      <c r="GY41" s="233"/>
      <c r="GZ41" s="233" t="s">
        <v>890</v>
      </c>
      <c r="HA41" s="233"/>
      <c r="HB41" s="233"/>
      <c r="HC41" s="233"/>
      <c r="HD41" s="231"/>
      <c r="HE41" s="233"/>
      <c r="HF41" s="233"/>
      <c r="HG41" s="233"/>
      <c r="HH41" s="233"/>
      <c r="HI41" s="233"/>
      <c r="HJ41" s="231"/>
      <c r="HK41" s="233"/>
      <c r="HL41" s="231"/>
      <c r="HM41" s="234"/>
      <c r="HN41" s="235"/>
      <c r="HO41" s="235"/>
      <c r="HP41" s="235"/>
      <c r="HQ41" s="235"/>
    </row>
    <row r="42" spans="2:225" hidden="1" outlineLevel="1">
      <c r="B42" s="256"/>
      <c r="C42" s="247" t="s">
        <v>116</v>
      </c>
      <c r="D42" s="236" t="s">
        <v>3154</v>
      </c>
      <c r="E42" s="237"/>
      <c r="F42" s="253" t="s">
        <v>540</v>
      </c>
      <c r="G42" s="268"/>
      <c r="H42" s="238"/>
      <c r="I42" s="239"/>
      <c r="J42" s="240"/>
      <c r="K42" s="240"/>
      <c r="L42" s="240"/>
      <c r="M42" s="240"/>
      <c r="N42" s="240"/>
      <c r="O42" s="269"/>
      <c r="P42" s="269"/>
      <c r="Q42" s="269"/>
      <c r="R42" s="269"/>
      <c r="S42" s="269"/>
      <c r="T42" s="269" t="s">
        <v>890</v>
      </c>
      <c r="U42" s="269"/>
      <c r="V42" s="269"/>
      <c r="W42" s="269"/>
      <c r="X42" s="238"/>
      <c r="Y42" s="269"/>
      <c r="Z42" s="269"/>
      <c r="AA42" s="269"/>
      <c r="AB42" s="269"/>
      <c r="AC42" s="269"/>
      <c r="AD42" s="269"/>
      <c r="AE42" s="269"/>
      <c r="AF42" s="269"/>
      <c r="AG42" s="269"/>
      <c r="AH42" s="238"/>
      <c r="AI42" s="269"/>
      <c r="AJ42" s="269"/>
      <c r="AK42" s="269"/>
      <c r="AL42" s="269"/>
      <c r="AM42" s="238"/>
      <c r="AN42" s="269"/>
      <c r="AO42" s="269"/>
      <c r="AP42" s="269"/>
      <c r="AQ42" s="238"/>
      <c r="AR42" s="269"/>
      <c r="AS42" s="269"/>
      <c r="AT42" s="269"/>
      <c r="AU42" s="269"/>
      <c r="AV42" s="269"/>
      <c r="AW42" s="269"/>
      <c r="AX42" s="269"/>
      <c r="AY42" s="269"/>
      <c r="AZ42" s="238"/>
      <c r="BA42" s="269"/>
      <c r="BB42" s="269"/>
      <c r="BC42" s="269"/>
      <c r="BD42" s="269"/>
      <c r="BE42" s="269"/>
      <c r="BF42" s="269"/>
      <c r="BG42" s="269"/>
      <c r="BH42" s="269"/>
      <c r="BI42" s="269"/>
      <c r="BJ42" s="269"/>
      <c r="BK42" s="269"/>
      <c r="BL42" s="269"/>
      <c r="BM42" s="269"/>
      <c r="BN42" s="269"/>
      <c r="BO42" s="269"/>
      <c r="BP42" s="238"/>
      <c r="BQ42" s="269"/>
      <c r="BR42" s="269"/>
      <c r="BS42" s="269"/>
      <c r="BT42" s="269"/>
      <c r="BU42" s="269"/>
      <c r="BV42" s="269"/>
      <c r="BW42" s="269"/>
      <c r="BX42" s="269"/>
      <c r="BY42" s="269"/>
      <c r="BZ42" s="269"/>
      <c r="CA42" s="269"/>
      <c r="CB42" s="269"/>
      <c r="CC42" s="269"/>
      <c r="CD42" s="269"/>
      <c r="CE42" s="269"/>
      <c r="CF42" s="238"/>
      <c r="CG42" s="269"/>
      <c r="CH42" s="269"/>
      <c r="CI42" s="269"/>
      <c r="CJ42" s="269"/>
      <c r="CK42" s="269"/>
      <c r="CL42" s="269"/>
      <c r="CM42" s="269"/>
      <c r="CN42" s="269"/>
      <c r="CO42" s="269"/>
      <c r="CP42" s="269"/>
      <c r="CQ42" s="269"/>
      <c r="CR42" s="269"/>
      <c r="CS42" s="238"/>
      <c r="CT42" s="269"/>
      <c r="CU42" s="269"/>
      <c r="CV42" s="269"/>
      <c r="CW42" s="269"/>
      <c r="CX42" s="269"/>
      <c r="CY42" s="269"/>
      <c r="CZ42" s="269"/>
      <c r="DA42" s="269"/>
      <c r="DB42" s="269"/>
      <c r="DC42" s="269"/>
      <c r="DD42" s="269"/>
      <c r="DE42" s="269"/>
      <c r="DF42" s="238"/>
      <c r="DG42" s="269"/>
      <c r="DH42" s="269"/>
      <c r="DI42" s="269"/>
      <c r="DJ42" s="269"/>
      <c r="DK42" s="269"/>
      <c r="DL42" s="269"/>
      <c r="DM42" s="269"/>
      <c r="DN42" s="269"/>
      <c r="DO42" s="269"/>
      <c r="DP42" s="269"/>
      <c r="DQ42" s="269"/>
      <c r="DR42" s="238"/>
      <c r="DS42" s="269"/>
      <c r="DT42" s="269"/>
      <c r="DU42" s="269"/>
      <c r="DV42" s="238"/>
      <c r="DW42" s="269"/>
      <c r="DX42" s="269"/>
      <c r="DY42" s="269"/>
      <c r="DZ42" s="269"/>
      <c r="EA42" s="269"/>
      <c r="EB42" s="269"/>
      <c r="EC42" s="269"/>
      <c r="ED42" s="269"/>
      <c r="EE42" s="269"/>
      <c r="EF42" s="238"/>
      <c r="EG42" s="269"/>
      <c r="EH42" s="269"/>
      <c r="EI42" s="269"/>
      <c r="EJ42" s="238"/>
      <c r="EK42" s="269"/>
      <c r="EL42" s="238"/>
      <c r="EM42" s="269"/>
      <c r="EN42" s="269"/>
      <c r="EO42" s="269"/>
      <c r="EP42" s="269"/>
      <c r="EQ42" s="269"/>
      <c r="ER42" s="269"/>
      <c r="ES42" s="269"/>
      <c r="ET42" s="269"/>
      <c r="EU42" s="269"/>
      <c r="EV42" s="269"/>
      <c r="EW42" s="269"/>
      <c r="EX42" s="238"/>
      <c r="EY42" s="269"/>
      <c r="EZ42" s="269"/>
      <c r="FA42" s="269"/>
      <c r="FB42" s="269"/>
      <c r="FC42" s="269"/>
      <c r="FD42" s="269"/>
      <c r="FE42" s="269"/>
      <c r="FF42" s="269"/>
      <c r="FG42" s="269"/>
      <c r="FH42" s="269"/>
      <c r="FI42" s="269"/>
      <c r="FJ42" s="269"/>
      <c r="FK42" s="269"/>
      <c r="FL42" s="269"/>
      <c r="FM42" s="269"/>
      <c r="FN42" s="269"/>
      <c r="FO42" s="238"/>
      <c r="FP42" s="269"/>
      <c r="FQ42" s="269"/>
      <c r="FR42" s="269"/>
      <c r="FS42" s="269"/>
      <c r="FT42" s="269"/>
      <c r="FU42" s="269"/>
      <c r="FV42" s="269"/>
      <c r="FW42" s="269"/>
      <c r="FX42" s="269"/>
      <c r="FY42" s="269"/>
      <c r="FZ42" s="238"/>
      <c r="GA42" s="269"/>
      <c r="GB42" s="240"/>
      <c r="GC42" s="238"/>
      <c r="GD42" s="240"/>
      <c r="GE42" s="240"/>
      <c r="GF42" s="240"/>
      <c r="GG42" s="240"/>
      <c r="GH42" s="238"/>
      <c r="GI42" s="240"/>
      <c r="GJ42" s="240"/>
      <c r="GK42" s="240"/>
      <c r="GL42" s="240"/>
      <c r="GM42" s="238"/>
      <c r="GN42" s="240"/>
      <c r="GO42" s="240"/>
      <c r="GP42" s="240"/>
      <c r="GQ42" s="240"/>
      <c r="GR42" s="240"/>
      <c r="GS42" s="240"/>
      <c r="GT42" s="240"/>
      <c r="GU42" s="240"/>
      <c r="GV42" s="240"/>
      <c r="GW42" s="240"/>
      <c r="GX42" s="240"/>
      <c r="GY42" s="240" t="s">
        <v>890</v>
      </c>
      <c r="GZ42" s="240"/>
      <c r="HA42" s="240" t="s">
        <v>890</v>
      </c>
      <c r="HB42" s="240" t="s">
        <v>890</v>
      </c>
      <c r="HC42" s="240"/>
      <c r="HD42" s="238"/>
      <c r="HE42" s="240"/>
      <c r="HF42" s="240"/>
      <c r="HG42" s="240"/>
      <c r="HH42" s="240"/>
      <c r="HI42" s="240"/>
      <c r="HJ42" s="238"/>
      <c r="HK42" s="240"/>
      <c r="HL42" s="238"/>
      <c r="HM42" s="241"/>
      <c r="HN42" s="235"/>
      <c r="HO42" s="235"/>
      <c r="HP42" s="235"/>
      <c r="HQ42" s="235"/>
    </row>
    <row r="43" spans="2:225" hidden="1" outlineLevel="1">
      <c r="B43" s="256"/>
      <c r="C43" s="247" t="s">
        <v>116</v>
      </c>
      <c r="D43" s="236" t="s">
        <v>3155</v>
      </c>
      <c r="E43" s="248"/>
      <c r="F43" s="253" t="str">
        <f>IF(E43='3. Dropdowns'!C69,"","Submittals, Products, Execution")</f>
        <v>Submittals, Products, Execution</v>
      </c>
      <c r="G43" s="268"/>
      <c r="H43" s="270"/>
      <c r="I43" s="271" t="s">
        <v>890</v>
      </c>
      <c r="J43" s="272" t="s">
        <v>890</v>
      </c>
      <c r="K43" s="272"/>
      <c r="L43" s="272"/>
      <c r="M43" s="272"/>
      <c r="N43" s="272"/>
      <c r="O43" s="273"/>
      <c r="P43" s="273"/>
      <c r="Q43" s="273"/>
      <c r="R43" s="273"/>
      <c r="S43" s="273"/>
      <c r="T43" s="273" t="s">
        <v>890</v>
      </c>
      <c r="U43" s="273"/>
      <c r="V43" s="273"/>
      <c r="W43" s="273"/>
      <c r="X43" s="270"/>
      <c r="Y43" s="273"/>
      <c r="Z43" s="273"/>
      <c r="AA43" s="273"/>
      <c r="AB43" s="273"/>
      <c r="AC43" s="273"/>
      <c r="AD43" s="273"/>
      <c r="AE43" s="273"/>
      <c r="AF43" s="273"/>
      <c r="AG43" s="273"/>
      <c r="AH43" s="270"/>
      <c r="AI43" s="273"/>
      <c r="AJ43" s="273"/>
      <c r="AK43" s="273"/>
      <c r="AL43" s="273"/>
      <c r="AM43" s="270"/>
      <c r="AN43" s="273"/>
      <c r="AO43" s="273"/>
      <c r="AP43" s="273"/>
      <c r="AQ43" s="270"/>
      <c r="AR43" s="273"/>
      <c r="AS43" s="273"/>
      <c r="AT43" s="273"/>
      <c r="AU43" s="273"/>
      <c r="AV43" s="273"/>
      <c r="AW43" s="273"/>
      <c r="AX43" s="273"/>
      <c r="AY43" s="273"/>
      <c r="AZ43" s="270"/>
      <c r="BA43" s="273"/>
      <c r="BB43" s="273"/>
      <c r="BC43" s="273"/>
      <c r="BD43" s="273"/>
      <c r="BE43" s="273"/>
      <c r="BF43" s="273"/>
      <c r="BG43" s="273"/>
      <c r="BH43" s="273"/>
      <c r="BI43" s="273"/>
      <c r="BJ43" s="273"/>
      <c r="BK43" s="273"/>
      <c r="BL43" s="273"/>
      <c r="BM43" s="273"/>
      <c r="BN43" s="273"/>
      <c r="BO43" s="273"/>
      <c r="BP43" s="270"/>
      <c r="BQ43" s="273"/>
      <c r="BR43" s="273"/>
      <c r="BS43" s="273"/>
      <c r="BT43" s="273"/>
      <c r="BU43" s="273"/>
      <c r="BV43" s="273"/>
      <c r="BW43" s="273"/>
      <c r="BX43" s="273"/>
      <c r="BY43" s="273"/>
      <c r="BZ43" s="273"/>
      <c r="CA43" s="273"/>
      <c r="CB43" s="273"/>
      <c r="CC43" s="273"/>
      <c r="CD43" s="273"/>
      <c r="CE43" s="273"/>
      <c r="CF43" s="270"/>
      <c r="CG43" s="273"/>
      <c r="CH43" s="273"/>
      <c r="CI43" s="273"/>
      <c r="CJ43" s="273"/>
      <c r="CK43" s="273"/>
      <c r="CL43" s="273"/>
      <c r="CM43" s="273"/>
      <c r="CN43" s="273"/>
      <c r="CO43" s="273"/>
      <c r="CP43" s="273"/>
      <c r="CQ43" s="273"/>
      <c r="CR43" s="273"/>
      <c r="CS43" s="270"/>
      <c r="CT43" s="273"/>
      <c r="CU43" s="273"/>
      <c r="CV43" s="273"/>
      <c r="CW43" s="273"/>
      <c r="CX43" s="273"/>
      <c r="CY43" s="273"/>
      <c r="CZ43" s="273"/>
      <c r="DA43" s="273"/>
      <c r="DB43" s="273"/>
      <c r="DC43" s="273"/>
      <c r="DD43" s="273"/>
      <c r="DE43" s="273"/>
      <c r="DF43" s="270"/>
      <c r="DG43" s="273"/>
      <c r="DH43" s="273"/>
      <c r="DI43" s="273"/>
      <c r="DJ43" s="273"/>
      <c r="DK43" s="273"/>
      <c r="DL43" s="273"/>
      <c r="DM43" s="273"/>
      <c r="DN43" s="273"/>
      <c r="DO43" s="273"/>
      <c r="DP43" s="273"/>
      <c r="DQ43" s="273"/>
      <c r="DR43" s="270"/>
      <c r="DS43" s="273"/>
      <c r="DT43" s="273"/>
      <c r="DU43" s="273"/>
      <c r="DV43" s="270"/>
      <c r="DW43" s="273"/>
      <c r="DX43" s="273"/>
      <c r="DY43" s="273"/>
      <c r="DZ43" s="273"/>
      <c r="EA43" s="273"/>
      <c r="EB43" s="273"/>
      <c r="EC43" s="273"/>
      <c r="ED43" s="273"/>
      <c r="EE43" s="273"/>
      <c r="EF43" s="270"/>
      <c r="EG43" s="273"/>
      <c r="EH43" s="273"/>
      <c r="EI43" s="273"/>
      <c r="EJ43" s="270"/>
      <c r="EK43" s="273"/>
      <c r="EL43" s="270"/>
      <c r="EM43" s="273"/>
      <c r="EN43" s="273"/>
      <c r="EO43" s="273"/>
      <c r="EP43" s="273"/>
      <c r="EQ43" s="273"/>
      <c r="ER43" s="273"/>
      <c r="ES43" s="273"/>
      <c r="ET43" s="273"/>
      <c r="EU43" s="273"/>
      <c r="EV43" s="273"/>
      <c r="EW43" s="273"/>
      <c r="EX43" s="270"/>
      <c r="EY43" s="273"/>
      <c r="EZ43" s="273"/>
      <c r="FA43" s="273"/>
      <c r="FB43" s="273"/>
      <c r="FC43" s="273"/>
      <c r="FD43" s="273"/>
      <c r="FE43" s="273"/>
      <c r="FF43" s="273"/>
      <c r="FG43" s="273"/>
      <c r="FH43" s="273"/>
      <c r="FI43" s="273"/>
      <c r="FJ43" s="273"/>
      <c r="FK43" s="273"/>
      <c r="FL43" s="273"/>
      <c r="FM43" s="273"/>
      <c r="FN43" s="273"/>
      <c r="FO43" s="270"/>
      <c r="FP43" s="273"/>
      <c r="FQ43" s="273"/>
      <c r="FR43" s="273"/>
      <c r="FS43" s="273"/>
      <c r="FT43" s="273" t="s">
        <v>890</v>
      </c>
      <c r="FU43" s="273"/>
      <c r="FV43" s="273"/>
      <c r="FW43" s="273"/>
      <c r="FX43" s="273"/>
      <c r="FY43" s="273" t="s">
        <v>890</v>
      </c>
      <c r="FZ43" s="270"/>
      <c r="GA43" s="274"/>
      <c r="GB43" s="240"/>
      <c r="GC43" s="270"/>
      <c r="GD43" s="240"/>
      <c r="GE43" s="240"/>
      <c r="GF43" s="240"/>
      <c r="GG43" s="240"/>
      <c r="GH43" s="270"/>
      <c r="GI43" s="240"/>
      <c r="GJ43" s="240"/>
      <c r="GK43" s="240"/>
      <c r="GL43" s="240"/>
      <c r="GM43" s="270"/>
      <c r="GN43" s="240"/>
      <c r="GO43" s="240"/>
      <c r="GP43" s="240"/>
      <c r="GQ43" s="240"/>
      <c r="GR43" s="240"/>
      <c r="GS43" s="240"/>
      <c r="GT43" s="240"/>
      <c r="GU43" s="240"/>
      <c r="GV43" s="240"/>
      <c r="GW43" s="240"/>
      <c r="GX43" s="240"/>
      <c r="GY43" s="240"/>
      <c r="GZ43" s="240"/>
      <c r="HA43" s="240"/>
      <c r="HB43" s="240"/>
      <c r="HC43" s="240"/>
      <c r="HD43" s="270"/>
      <c r="HE43" s="240"/>
      <c r="HF43" s="240"/>
      <c r="HG43" s="240"/>
      <c r="HH43" s="240"/>
      <c r="HI43" s="240"/>
      <c r="HJ43" s="270"/>
      <c r="HK43" s="240"/>
      <c r="HL43" s="270"/>
      <c r="HM43" s="241"/>
      <c r="HN43" s="235"/>
      <c r="HO43" s="235"/>
      <c r="HP43" s="235"/>
      <c r="HQ43" s="235"/>
    </row>
    <row r="44" spans="2:225" hidden="1" outlineLevel="1">
      <c r="B44" s="257" t="s">
        <v>2580</v>
      </c>
      <c r="C44" s="258" t="str">
        <f>IF(OR(E43='3. Dropdowns'!C72,E43=""),"Show","Hide")</f>
        <v>Show</v>
      </c>
      <c r="D44" s="236" t="s">
        <v>3156</v>
      </c>
      <c r="E44" s="248"/>
      <c r="F44" s="253" t="str">
        <f>IF(E43='3. Dropdowns'!C69,"","Submittals, Products, Execution")</f>
        <v>Submittals, Products, Execution</v>
      </c>
      <c r="G44" s="268"/>
      <c r="H44" s="270"/>
      <c r="I44" s="271" t="s">
        <v>890</v>
      </c>
      <c r="J44" s="272" t="s">
        <v>890</v>
      </c>
      <c r="K44" s="272"/>
      <c r="L44" s="272"/>
      <c r="M44" s="272"/>
      <c r="N44" s="272"/>
      <c r="O44" s="273"/>
      <c r="P44" s="273"/>
      <c r="Q44" s="273"/>
      <c r="R44" s="273"/>
      <c r="S44" s="273"/>
      <c r="T44" s="273" t="s">
        <v>890</v>
      </c>
      <c r="U44" s="273"/>
      <c r="V44" s="273"/>
      <c r="W44" s="273"/>
      <c r="X44" s="270"/>
      <c r="Y44" s="273"/>
      <c r="Z44" s="273"/>
      <c r="AA44" s="273"/>
      <c r="AB44" s="273"/>
      <c r="AC44" s="273"/>
      <c r="AD44" s="273"/>
      <c r="AE44" s="273"/>
      <c r="AF44" s="273"/>
      <c r="AG44" s="273"/>
      <c r="AH44" s="270"/>
      <c r="AI44" s="273"/>
      <c r="AJ44" s="273"/>
      <c r="AK44" s="273"/>
      <c r="AL44" s="273"/>
      <c r="AM44" s="270"/>
      <c r="AN44" s="273"/>
      <c r="AO44" s="273"/>
      <c r="AP44" s="273"/>
      <c r="AQ44" s="270"/>
      <c r="AR44" s="273"/>
      <c r="AS44" s="273"/>
      <c r="AT44" s="273"/>
      <c r="AU44" s="273"/>
      <c r="AV44" s="273"/>
      <c r="AW44" s="273"/>
      <c r="AX44" s="273"/>
      <c r="AY44" s="273"/>
      <c r="AZ44" s="270"/>
      <c r="BA44" s="273"/>
      <c r="BB44" s="273"/>
      <c r="BC44" s="273"/>
      <c r="BD44" s="273"/>
      <c r="BE44" s="273"/>
      <c r="BF44" s="273"/>
      <c r="BG44" s="273"/>
      <c r="BH44" s="273"/>
      <c r="BI44" s="273"/>
      <c r="BJ44" s="273"/>
      <c r="BK44" s="273"/>
      <c r="BL44" s="273"/>
      <c r="BM44" s="273"/>
      <c r="BN44" s="273"/>
      <c r="BO44" s="273"/>
      <c r="BP44" s="270"/>
      <c r="BQ44" s="273"/>
      <c r="BR44" s="273"/>
      <c r="BS44" s="273"/>
      <c r="BT44" s="273"/>
      <c r="BU44" s="273"/>
      <c r="BV44" s="273"/>
      <c r="BW44" s="273"/>
      <c r="BX44" s="273"/>
      <c r="BY44" s="273"/>
      <c r="BZ44" s="273"/>
      <c r="CA44" s="273"/>
      <c r="CB44" s="273"/>
      <c r="CC44" s="273"/>
      <c r="CD44" s="273"/>
      <c r="CE44" s="273"/>
      <c r="CF44" s="270"/>
      <c r="CG44" s="273"/>
      <c r="CH44" s="273"/>
      <c r="CI44" s="273"/>
      <c r="CJ44" s="273"/>
      <c r="CK44" s="273"/>
      <c r="CL44" s="273"/>
      <c r="CM44" s="273"/>
      <c r="CN44" s="273"/>
      <c r="CO44" s="273"/>
      <c r="CP44" s="273"/>
      <c r="CQ44" s="273"/>
      <c r="CR44" s="273"/>
      <c r="CS44" s="270"/>
      <c r="CT44" s="273"/>
      <c r="CU44" s="273"/>
      <c r="CV44" s="273"/>
      <c r="CW44" s="273"/>
      <c r="CX44" s="273"/>
      <c r="CY44" s="273"/>
      <c r="CZ44" s="273"/>
      <c r="DA44" s="273"/>
      <c r="DB44" s="273"/>
      <c r="DC44" s="273"/>
      <c r="DD44" s="273"/>
      <c r="DE44" s="273"/>
      <c r="DF44" s="270"/>
      <c r="DG44" s="273"/>
      <c r="DH44" s="273"/>
      <c r="DI44" s="273"/>
      <c r="DJ44" s="273"/>
      <c r="DK44" s="273"/>
      <c r="DL44" s="273"/>
      <c r="DM44" s="273"/>
      <c r="DN44" s="273"/>
      <c r="DO44" s="273"/>
      <c r="DP44" s="273"/>
      <c r="DQ44" s="273"/>
      <c r="DR44" s="270"/>
      <c r="DS44" s="273"/>
      <c r="DT44" s="273"/>
      <c r="DU44" s="273"/>
      <c r="DV44" s="270"/>
      <c r="DW44" s="273"/>
      <c r="DX44" s="273"/>
      <c r="DY44" s="273"/>
      <c r="DZ44" s="273"/>
      <c r="EA44" s="273"/>
      <c r="EB44" s="273"/>
      <c r="EC44" s="273"/>
      <c r="ED44" s="273"/>
      <c r="EE44" s="273"/>
      <c r="EF44" s="270"/>
      <c r="EG44" s="273"/>
      <c r="EH44" s="273"/>
      <c r="EI44" s="273"/>
      <c r="EJ44" s="270"/>
      <c r="EK44" s="273"/>
      <c r="EL44" s="270"/>
      <c r="EM44" s="273"/>
      <c r="EN44" s="273"/>
      <c r="EO44" s="273"/>
      <c r="EP44" s="273"/>
      <c r="EQ44" s="273"/>
      <c r="ER44" s="273"/>
      <c r="ES44" s="273"/>
      <c r="ET44" s="273"/>
      <c r="EU44" s="273"/>
      <c r="EV44" s="273"/>
      <c r="EW44" s="273"/>
      <c r="EX44" s="270"/>
      <c r="EY44" s="273"/>
      <c r="EZ44" s="273"/>
      <c r="FA44" s="273"/>
      <c r="FB44" s="273"/>
      <c r="FC44" s="273"/>
      <c r="FD44" s="273"/>
      <c r="FE44" s="273"/>
      <c r="FF44" s="273"/>
      <c r="FG44" s="273"/>
      <c r="FH44" s="273"/>
      <c r="FI44" s="273"/>
      <c r="FJ44" s="273"/>
      <c r="FK44" s="273"/>
      <c r="FL44" s="273"/>
      <c r="FM44" s="273"/>
      <c r="FN44" s="273"/>
      <c r="FO44" s="270"/>
      <c r="FP44" s="273"/>
      <c r="FQ44" s="273"/>
      <c r="FR44" s="273"/>
      <c r="FS44" s="273"/>
      <c r="FT44" s="273" t="s">
        <v>890</v>
      </c>
      <c r="FU44" s="273"/>
      <c r="FV44" s="273"/>
      <c r="FW44" s="273"/>
      <c r="FX44" s="273"/>
      <c r="FY44" s="273" t="s">
        <v>890</v>
      </c>
      <c r="FZ44" s="270"/>
      <c r="GA44" s="274"/>
      <c r="GB44" s="240"/>
      <c r="GC44" s="270"/>
      <c r="GD44" s="240"/>
      <c r="GE44" s="240"/>
      <c r="GF44" s="240"/>
      <c r="GG44" s="240"/>
      <c r="GH44" s="270"/>
      <c r="GI44" s="240"/>
      <c r="GJ44" s="240"/>
      <c r="GK44" s="240"/>
      <c r="GL44" s="240"/>
      <c r="GM44" s="270"/>
      <c r="GN44" s="240"/>
      <c r="GO44" s="240"/>
      <c r="GP44" s="240"/>
      <c r="GQ44" s="240"/>
      <c r="GR44" s="240"/>
      <c r="GS44" s="240"/>
      <c r="GT44" s="240"/>
      <c r="GU44" s="240"/>
      <c r="GV44" s="240"/>
      <c r="GW44" s="240"/>
      <c r="GX44" s="240"/>
      <c r="GY44" s="240"/>
      <c r="GZ44" s="240"/>
      <c r="HA44" s="240"/>
      <c r="HB44" s="240"/>
      <c r="HC44" s="240"/>
      <c r="HD44" s="270"/>
      <c r="HE44" s="240"/>
      <c r="HF44" s="240"/>
      <c r="HG44" s="240"/>
      <c r="HH44" s="240"/>
      <c r="HI44" s="240"/>
      <c r="HJ44" s="270"/>
      <c r="HK44" s="240"/>
      <c r="HL44" s="270"/>
      <c r="HM44" s="241"/>
      <c r="HN44" s="235"/>
      <c r="HO44" s="235"/>
      <c r="HP44" s="235"/>
      <c r="HQ44" s="235"/>
    </row>
    <row r="45" spans="2:225" hidden="1" outlineLevel="1">
      <c r="B45" s="275"/>
      <c r="C45" s="258" t="s">
        <v>116</v>
      </c>
      <c r="D45" s="236" t="s">
        <v>3157</v>
      </c>
      <c r="E45" s="248"/>
      <c r="F45" s="253" t="str">
        <f>IF(E45='3. Dropdowns'!C78,"",IF(F5='3. Dropdowns'!C12,"Execution","Submittals, Execution"))</f>
        <v>Submittals, Execution</v>
      </c>
      <c r="G45" s="268"/>
      <c r="H45" s="270"/>
      <c r="I45" s="271" t="s">
        <v>890</v>
      </c>
      <c r="J45" s="272"/>
      <c r="K45" s="272"/>
      <c r="L45" s="272"/>
      <c r="M45" s="272"/>
      <c r="N45" s="272"/>
      <c r="O45" s="273"/>
      <c r="P45" s="273"/>
      <c r="Q45" s="273"/>
      <c r="R45" s="273"/>
      <c r="S45" s="273"/>
      <c r="T45" s="273" t="s">
        <v>890</v>
      </c>
      <c r="U45" s="273"/>
      <c r="V45" s="273"/>
      <c r="W45" s="273"/>
      <c r="X45" s="270"/>
      <c r="Y45" s="273"/>
      <c r="Z45" s="273"/>
      <c r="AA45" s="273"/>
      <c r="AB45" s="273"/>
      <c r="AC45" s="273"/>
      <c r="AD45" s="273"/>
      <c r="AE45" s="273"/>
      <c r="AF45" s="273"/>
      <c r="AG45" s="273"/>
      <c r="AH45" s="270"/>
      <c r="AI45" s="273"/>
      <c r="AJ45" s="273"/>
      <c r="AK45" s="273"/>
      <c r="AL45" s="273"/>
      <c r="AM45" s="270"/>
      <c r="AN45" s="273"/>
      <c r="AO45" s="273"/>
      <c r="AP45" s="273"/>
      <c r="AQ45" s="270"/>
      <c r="AR45" s="273"/>
      <c r="AS45" s="273"/>
      <c r="AT45" s="273"/>
      <c r="AU45" s="273"/>
      <c r="AV45" s="273"/>
      <c r="AW45" s="273"/>
      <c r="AX45" s="273"/>
      <c r="AY45" s="273"/>
      <c r="AZ45" s="270"/>
      <c r="BA45" s="273"/>
      <c r="BB45" s="273"/>
      <c r="BC45" s="273"/>
      <c r="BD45" s="273"/>
      <c r="BE45" s="273"/>
      <c r="BF45" s="273"/>
      <c r="BG45" s="273"/>
      <c r="BH45" s="273"/>
      <c r="BI45" s="273"/>
      <c r="BJ45" s="273"/>
      <c r="BK45" s="273"/>
      <c r="BL45" s="273"/>
      <c r="BM45" s="273"/>
      <c r="BN45" s="273"/>
      <c r="BO45" s="273"/>
      <c r="BP45" s="270"/>
      <c r="BQ45" s="273"/>
      <c r="BR45" s="273"/>
      <c r="BS45" s="273"/>
      <c r="BT45" s="273"/>
      <c r="BU45" s="273"/>
      <c r="BV45" s="273"/>
      <c r="BW45" s="273"/>
      <c r="BX45" s="273"/>
      <c r="BY45" s="273"/>
      <c r="BZ45" s="273"/>
      <c r="CA45" s="273"/>
      <c r="CB45" s="273"/>
      <c r="CC45" s="273"/>
      <c r="CD45" s="273"/>
      <c r="CE45" s="273"/>
      <c r="CF45" s="270"/>
      <c r="CG45" s="273"/>
      <c r="CH45" s="273"/>
      <c r="CI45" s="273"/>
      <c r="CJ45" s="273"/>
      <c r="CK45" s="273"/>
      <c r="CL45" s="273"/>
      <c r="CM45" s="273"/>
      <c r="CN45" s="273"/>
      <c r="CO45" s="273"/>
      <c r="CP45" s="273"/>
      <c r="CQ45" s="273"/>
      <c r="CR45" s="273"/>
      <c r="CS45" s="270"/>
      <c r="CT45" s="273"/>
      <c r="CU45" s="273"/>
      <c r="CV45" s="273"/>
      <c r="CW45" s="273"/>
      <c r="CX45" s="273"/>
      <c r="CY45" s="273"/>
      <c r="CZ45" s="273"/>
      <c r="DA45" s="273"/>
      <c r="DB45" s="273"/>
      <c r="DC45" s="273"/>
      <c r="DD45" s="273"/>
      <c r="DE45" s="273"/>
      <c r="DF45" s="270"/>
      <c r="DG45" s="273"/>
      <c r="DH45" s="273"/>
      <c r="DI45" s="273"/>
      <c r="DJ45" s="273"/>
      <c r="DK45" s="273"/>
      <c r="DL45" s="273"/>
      <c r="DM45" s="273"/>
      <c r="DN45" s="273"/>
      <c r="DO45" s="273"/>
      <c r="DP45" s="273"/>
      <c r="DQ45" s="273"/>
      <c r="DR45" s="270"/>
      <c r="DS45" s="273"/>
      <c r="DT45" s="273"/>
      <c r="DU45" s="273"/>
      <c r="DV45" s="270"/>
      <c r="DW45" s="273"/>
      <c r="DX45" s="273"/>
      <c r="DY45" s="273"/>
      <c r="DZ45" s="273"/>
      <c r="EA45" s="273"/>
      <c r="EB45" s="273"/>
      <c r="EC45" s="273"/>
      <c r="ED45" s="273"/>
      <c r="EE45" s="273"/>
      <c r="EF45" s="270"/>
      <c r="EG45" s="273"/>
      <c r="EH45" s="273"/>
      <c r="EI45" s="273"/>
      <c r="EJ45" s="270"/>
      <c r="EK45" s="273"/>
      <c r="EL45" s="270"/>
      <c r="EM45" s="273"/>
      <c r="EN45" s="273"/>
      <c r="EO45" s="273"/>
      <c r="EP45" s="273"/>
      <c r="EQ45" s="273"/>
      <c r="ER45" s="273"/>
      <c r="ES45" s="273" t="s">
        <v>890</v>
      </c>
      <c r="ET45" s="273"/>
      <c r="EU45" s="273"/>
      <c r="EV45" s="273"/>
      <c r="EW45" s="273"/>
      <c r="EX45" s="270"/>
      <c r="EY45" s="273"/>
      <c r="EZ45" s="273"/>
      <c r="FA45" s="273"/>
      <c r="FB45" s="273"/>
      <c r="FC45" s="273"/>
      <c r="FD45" s="273"/>
      <c r="FE45" s="273"/>
      <c r="FF45" s="273"/>
      <c r="FG45" s="273"/>
      <c r="FH45" s="273"/>
      <c r="FI45" s="273"/>
      <c r="FJ45" s="273"/>
      <c r="FK45" s="273"/>
      <c r="FL45" s="273"/>
      <c r="FM45" s="273"/>
      <c r="FN45" s="273"/>
      <c r="FO45" s="270"/>
      <c r="FP45" s="273"/>
      <c r="FQ45" s="273"/>
      <c r="FR45" s="273"/>
      <c r="FS45" s="273"/>
      <c r="FT45" s="273"/>
      <c r="FU45" s="273"/>
      <c r="FV45" s="273"/>
      <c r="FW45" s="273"/>
      <c r="FX45" s="273"/>
      <c r="FY45" s="273"/>
      <c r="FZ45" s="270"/>
      <c r="GA45" s="274"/>
      <c r="GB45" s="240"/>
      <c r="GC45" s="270"/>
      <c r="GD45" s="240"/>
      <c r="GE45" s="240"/>
      <c r="GF45" s="240"/>
      <c r="GG45" s="240"/>
      <c r="GH45" s="270"/>
      <c r="GI45" s="240"/>
      <c r="GJ45" s="240"/>
      <c r="GK45" s="240"/>
      <c r="GL45" s="240"/>
      <c r="GM45" s="270"/>
      <c r="GN45" s="240"/>
      <c r="GO45" s="240"/>
      <c r="GP45" s="240"/>
      <c r="GQ45" s="240"/>
      <c r="GR45" s="240"/>
      <c r="GS45" s="240"/>
      <c r="GT45" s="240"/>
      <c r="GU45" s="240"/>
      <c r="GV45" s="240"/>
      <c r="GW45" s="240"/>
      <c r="GX45" s="240"/>
      <c r="GY45" s="240" t="s">
        <v>890</v>
      </c>
      <c r="GZ45" s="240"/>
      <c r="HA45" s="240" t="s">
        <v>890</v>
      </c>
      <c r="HB45" s="240"/>
      <c r="HC45" s="240"/>
      <c r="HD45" s="270"/>
      <c r="HE45" s="240"/>
      <c r="HF45" s="240"/>
      <c r="HG45" s="240"/>
      <c r="HH45" s="240"/>
      <c r="HI45" s="240" t="s">
        <v>890</v>
      </c>
      <c r="HJ45" s="270"/>
      <c r="HK45" s="240"/>
      <c r="HL45" s="270"/>
      <c r="HM45" s="241"/>
      <c r="HN45" s="235"/>
      <c r="HO45" s="235"/>
      <c r="HP45" s="235"/>
      <c r="HQ45" s="235"/>
    </row>
    <row r="46" spans="2:225" hidden="1" outlineLevel="1">
      <c r="B46" s="275"/>
      <c r="C46" s="258" t="s">
        <v>116</v>
      </c>
      <c r="D46" s="236" t="s">
        <v>3158</v>
      </c>
      <c r="E46" s="248"/>
      <c r="F46" s="253" t="str">
        <f>IF(E46='3. Dropdowns'!C82,"","Submittals, Products, Execution")</f>
        <v>Submittals, Products, Execution</v>
      </c>
      <c r="G46" s="268"/>
      <c r="H46" s="238"/>
      <c r="I46" s="239"/>
      <c r="J46" s="240"/>
      <c r="K46" s="240"/>
      <c r="L46" s="240" t="s">
        <v>890</v>
      </c>
      <c r="M46" s="240"/>
      <c r="N46" s="240"/>
      <c r="O46" s="240"/>
      <c r="P46" s="240"/>
      <c r="Q46" s="240"/>
      <c r="R46" s="240"/>
      <c r="S46" s="240"/>
      <c r="T46" s="240" t="s">
        <v>890</v>
      </c>
      <c r="U46" s="240"/>
      <c r="V46" s="240"/>
      <c r="W46" s="240"/>
      <c r="X46" s="238"/>
      <c r="Y46" s="240"/>
      <c r="Z46" s="240"/>
      <c r="AA46" s="240"/>
      <c r="AB46" s="240"/>
      <c r="AC46" s="240"/>
      <c r="AD46" s="240"/>
      <c r="AE46" s="240"/>
      <c r="AF46" s="240"/>
      <c r="AG46" s="240"/>
      <c r="AH46" s="238"/>
      <c r="AI46" s="240"/>
      <c r="AJ46" s="240"/>
      <c r="AK46" s="240"/>
      <c r="AL46" s="240"/>
      <c r="AM46" s="238"/>
      <c r="AN46" s="240"/>
      <c r="AO46" s="240"/>
      <c r="AP46" s="240"/>
      <c r="AQ46" s="238"/>
      <c r="AR46" s="240"/>
      <c r="AS46" s="240"/>
      <c r="AT46" s="240"/>
      <c r="AU46" s="240"/>
      <c r="AV46" s="240"/>
      <c r="AW46" s="240"/>
      <c r="AX46" s="240"/>
      <c r="AY46" s="240"/>
      <c r="AZ46" s="238"/>
      <c r="BA46" s="240"/>
      <c r="BB46" s="240"/>
      <c r="BC46" s="240"/>
      <c r="BD46" s="240"/>
      <c r="BE46" s="240"/>
      <c r="BF46" s="240"/>
      <c r="BG46" s="240"/>
      <c r="BH46" s="240"/>
      <c r="BI46" s="240"/>
      <c r="BJ46" s="240"/>
      <c r="BK46" s="240"/>
      <c r="BL46" s="240"/>
      <c r="BM46" s="240"/>
      <c r="BN46" s="240"/>
      <c r="BO46" s="240"/>
      <c r="BP46" s="238"/>
      <c r="BQ46" s="240"/>
      <c r="BR46" s="240"/>
      <c r="BS46" s="240"/>
      <c r="BT46" s="240"/>
      <c r="BU46" s="240"/>
      <c r="BV46" s="240"/>
      <c r="BW46" s="240"/>
      <c r="BX46" s="240"/>
      <c r="BY46" s="240"/>
      <c r="BZ46" s="240"/>
      <c r="CA46" s="240"/>
      <c r="CB46" s="240"/>
      <c r="CC46" s="240"/>
      <c r="CD46" s="240"/>
      <c r="CE46" s="240"/>
      <c r="CF46" s="238"/>
      <c r="CG46" s="240"/>
      <c r="CH46" s="240"/>
      <c r="CI46" s="240"/>
      <c r="CJ46" s="240"/>
      <c r="CK46" s="240"/>
      <c r="CL46" s="240"/>
      <c r="CM46" s="240"/>
      <c r="CN46" s="240"/>
      <c r="CO46" s="240"/>
      <c r="CP46" s="240"/>
      <c r="CQ46" s="240"/>
      <c r="CR46" s="240"/>
      <c r="CS46" s="238"/>
      <c r="CT46" s="240"/>
      <c r="CU46" s="240"/>
      <c r="CV46" s="240"/>
      <c r="CW46" s="240"/>
      <c r="CX46" s="240"/>
      <c r="CY46" s="240"/>
      <c r="CZ46" s="240"/>
      <c r="DA46" s="240"/>
      <c r="DB46" s="240"/>
      <c r="DC46" s="240"/>
      <c r="DD46" s="240"/>
      <c r="DE46" s="240"/>
      <c r="DF46" s="238"/>
      <c r="DG46" s="240"/>
      <c r="DH46" s="240"/>
      <c r="DI46" s="240"/>
      <c r="DJ46" s="240"/>
      <c r="DK46" s="240"/>
      <c r="DL46" s="240"/>
      <c r="DM46" s="240"/>
      <c r="DN46" s="240"/>
      <c r="DO46" s="240"/>
      <c r="DP46" s="240"/>
      <c r="DQ46" s="240"/>
      <c r="DR46" s="238"/>
      <c r="DS46" s="240"/>
      <c r="DT46" s="240"/>
      <c r="DU46" s="240"/>
      <c r="DV46" s="238"/>
      <c r="DW46" s="240"/>
      <c r="DX46" s="240"/>
      <c r="DY46" s="240"/>
      <c r="DZ46" s="240"/>
      <c r="EA46" s="240"/>
      <c r="EB46" s="240"/>
      <c r="EC46" s="240"/>
      <c r="ED46" s="240"/>
      <c r="EE46" s="240"/>
      <c r="EF46" s="238"/>
      <c r="EG46" s="240"/>
      <c r="EH46" s="240"/>
      <c r="EI46" s="240"/>
      <c r="EJ46" s="238"/>
      <c r="EK46" s="240"/>
      <c r="EL46" s="238"/>
      <c r="EM46" s="240"/>
      <c r="EN46" s="240"/>
      <c r="EO46" s="240"/>
      <c r="EP46" s="240"/>
      <c r="EQ46" s="240"/>
      <c r="ER46" s="240"/>
      <c r="ES46" s="240"/>
      <c r="ET46" s="240"/>
      <c r="EU46" s="240"/>
      <c r="EV46" s="240"/>
      <c r="EW46" s="240"/>
      <c r="EX46" s="238"/>
      <c r="EY46" s="240"/>
      <c r="EZ46" s="240"/>
      <c r="FA46" s="240"/>
      <c r="FB46" s="240"/>
      <c r="FC46" s="240"/>
      <c r="FD46" s="240"/>
      <c r="FE46" s="240"/>
      <c r="FF46" s="240"/>
      <c r="FG46" s="240"/>
      <c r="FH46" s="240"/>
      <c r="FI46" s="240"/>
      <c r="FJ46" s="240"/>
      <c r="FK46" s="240"/>
      <c r="FL46" s="240"/>
      <c r="FM46" s="240"/>
      <c r="FN46" s="240"/>
      <c r="FO46" s="238"/>
      <c r="FP46" s="240"/>
      <c r="FQ46" s="240"/>
      <c r="FR46" s="240"/>
      <c r="FS46" s="240"/>
      <c r="FT46" s="240"/>
      <c r="FU46" s="240"/>
      <c r="FV46" s="240"/>
      <c r="FW46" s="240"/>
      <c r="FX46" s="240"/>
      <c r="FY46" s="240"/>
      <c r="FZ46" s="238"/>
      <c r="GA46" s="240"/>
      <c r="GB46" s="240"/>
      <c r="GC46" s="238"/>
      <c r="GD46" s="240"/>
      <c r="GE46" s="240"/>
      <c r="GF46" s="240"/>
      <c r="GG46" s="240"/>
      <c r="GH46" s="238"/>
      <c r="GI46" s="240"/>
      <c r="GJ46" s="240"/>
      <c r="GK46" s="240"/>
      <c r="GL46" s="240"/>
      <c r="GM46" s="238"/>
      <c r="GN46" s="240"/>
      <c r="GO46" s="240"/>
      <c r="GP46" s="240"/>
      <c r="GQ46" s="240"/>
      <c r="GR46" s="240"/>
      <c r="GS46" s="240"/>
      <c r="GT46" s="240"/>
      <c r="GU46" s="240"/>
      <c r="GV46" s="240"/>
      <c r="GW46" s="240"/>
      <c r="GX46" s="240" t="s">
        <v>890</v>
      </c>
      <c r="GY46" s="240"/>
      <c r="GZ46" s="240"/>
      <c r="HA46" s="240"/>
      <c r="HB46" s="240"/>
      <c r="HC46" s="240"/>
      <c r="HD46" s="238"/>
      <c r="HE46" s="240"/>
      <c r="HF46" s="240"/>
      <c r="HG46" s="240"/>
      <c r="HH46" s="240"/>
      <c r="HI46" s="240"/>
      <c r="HJ46" s="238"/>
      <c r="HK46" s="240"/>
      <c r="HL46" s="238"/>
      <c r="HM46" s="241"/>
      <c r="HN46" s="235"/>
      <c r="HO46" s="235"/>
      <c r="HP46" s="235"/>
      <c r="HQ46" s="235"/>
    </row>
    <row r="47" spans="2:225" hidden="1" outlineLevel="1">
      <c r="B47" s="275"/>
      <c r="C47" s="258" t="s">
        <v>116</v>
      </c>
      <c r="D47" s="236" t="s">
        <v>3159</v>
      </c>
      <c r="E47" s="248"/>
      <c r="F47" s="253" t="str">
        <f>IF(E47='3. Dropdowns'!C86,"","Submittals, Execution")</f>
        <v>Submittals, Execution</v>
      </c>
      <c r="G47" s="268"/>
      <c r="H47" s="238"/>
      <c r="I47" s="239"/>
      <c r="J47" s="240"/>
      <c r="K47" s="240"/>
      <c r="L47" s="240" t="s">
        <v>890</v>
      </c>
      <c r="M47" s="240"/>
      <c r="N47" s="240"/>
      <c r="O47" s="240"/>
      <c r="P47" s="240"/>
      <c r="Q47" s="240"/>
      <c r="R47" s="240"/>
      <c r="S47" s="240"/>
      <c r="T47" s="240" t="s">
        <v>890</v>
      </c>
      <c r="U47" s="240"/>
      <c r="V47" s="240"/>
      <c r="W47" s="240"/>
      <c r="X47" s="238"/>
      <c r="Y47" s="240"/>
      <c r="Z47" s="240"/>
      <c r="AA47" s="240"/>
      <c r="AB47" s="240"/>
      <c r="AC47" s="240"/>
      <c r="AD47" s="240"/>
      <c r="AE47" s="240"/>
      <c r="AF47" s="240"/>
      <c r="AG47" s="240"/>
      <c r="AH47" s="238"/>
      <c r="AI47" s="240"/>
      <c r="AJ47" s="240"/>
      <c r="AK47" s="240"/>
      <c r="AL47" s="240"/>
      <c r="AM47" s="238"/>
      <c r="AN47" s="240"/>
      <c r="AO47" s="240"/>
      <c r="AP47" s="240"/>
      <c r="AQ47" s="238"/>
      <c r="AR47" s="240"/>
      <c r="AS47" s="240"/>
      <c r="AT47" s="240"/>
      <c r="AU47" s="240"/>
      <c r="AV47" s="240"/>
      <c r="AW47" s="240"/>
      <c r="AX47" s="240"/>
      <c r="AY47" s="240"/>
      <c r="AZ47" s="238"/>
      <c r="BA47" s="240"/>
      <c r="BB47" s="240"/>
      <c r="BC47" s="240"/>
      <c r="BD47" s="240"/>
      <c r="BE47" s="240"/>
      <c r="BF47" s="240"/>
      <c r="BG47" s="240"/>
      <c r="BH47" s="240"/>
      <c r="BI47" s="240"/>
      <c r="BJ47" s="240"/>
      <c r="BK47" s="240"/>
      <c r="BL47" s="240"/>
      <c r="BM47" s="240"/>
      <c r="BN47" s="240"/>
      <c r="BO47" s="240"/>
      <c r="BP47" s="238"/>
      <c r="BQ47" s="240"/>
      <c r="BR47" s="240"/>
      <c r="BS47" s="240"/>
      <c r="BT47" s="240"/>
      <c r="BU47" s="240"/>
      <c r="BV47" s="240"/>
      <c r="BW47" s="240"/>
      <c r="BX47" s="240"/>
      <c r="BY47" s="240"/>
      <c r="BZ47" s="240"/>
      <c r="CA47" s="240"/>
      <c r="CB47" s="240"/>
      <c r="CC47" s="240"/>
      <c r="CD47" s="240"/>
      <c r="CE47" s="240"/>
      <c r="CF47" s="238"/>
      <c r="CG47" s="240"/>
      <c r="CH47" s="240"/>
      <c r="CI47" s="240"/>
      <c r="CJ47" s="240"/>
      <c r="CK47" s="240"/>
      <c r="CL47" s="240"/>
      <c r="CM47" s="240"/>
      <c r="CN47" s="240"/>
      <c r="CO47" s="240"/>
      <c r="CP47" s="240"/>
      <c r="CQ47" s="240"/>
      <c r="CR47" s="240"/>
      <c r="CS47" s="238"/>
      <c r="CT47" s="240"/>
      <c r="CU47" s="240"/>
      <c r="CV47" s="240"/>
      <c r="CW47" s="240"/>
      <c r="CX47" s="240"/>
      <c r="CY47" s="240"/>
      <c r="CZ47" s="240"/>
      <c r="DA47" s="240"/>
      <c r="DB47" s="240"/>
      <c r="DC47" s="240"/>
      <c r="DD47" s="240"/>
      <c r="DE47" s="240"/>
      <c r="DF47" s="238"/>
      <c r="DG47" s="240"/>
      <c r="DH47" s="240"/>
      <c r="DI47" s="240"/>
      <c r="DJ47" s="240"/>
      <c r="DK47" s="240"/>
      <c r="DL47" s="240"/>
      <c r="DM47" s="240"/>
      <c r="DN47" s="240"/>
      <c r="DO47" s="240"/>
      <c r="DP47" s="240"/>
      <c r="DQ47" s="240"/>
      <c r="DR47" s="238"/>
      <c r="DS47" s="240"/>
      <c r="DT47" s="240"/>
      <c r="DU47" s="240"/>
      <c r="DV47" s="238"/>
      <c r="DW47" s="240"/>
      <c r="DX47" s="240"/>
      <c r="DY47" s="240"/>
      <c r="DZ47" s="240"/>
      <c r="EA47" s="240"/>
      <c r="EB47" s="240"/>
      <c r="EC47" s="240"/>
      <c r="ED47" s="240"/>
      <c r="EE47" s="240"/>
      <c r="EF47" s="238"/>
      <c r="EG47" s="240"/>
      <c r="EH47" s="240"/>
      <c r="EI47" s="240"/>
      <c r="EJ47" s="238"/>
      <c r="EK47" s="240"/>
      <c r="EL47" s="238"/>
      <c r="EM47" s="240"/>
      <c r="EN47" s="240"/>
      <c r="EO47" s="240"/>
      <c r="EP47" s="240"/>
      <c r="EQ47" s="240"/>
      <c r="ER47" s="240"/>
      <c r="ES47" s="240" t="s">
        <v>890</v>
      </c>
      <c r="ET47" s="240"/>
      <c r="EU47" s="240"/>
      <c r="EV47" s="240"/>
      <c r="EW47" s="240"/>
      <c r="EX47" s="238"/>
      <c r="EY47" s="240"/>
      <c r="EZ47" s="240"/>
      <c r="FA47" s="240"/>
      <c r="FB47" s="240"/>
      <c r="FC47" s="240"/>
      <c r="FD47" s="240"/>
      <c r="FE47" s="240"/>
      <c r="FF47" s="240"/>
      <c r="FG47" s="240"/>
      <c r="FH47" s="240"/>
      <c r="FI47" s="240"/>
      <c r="FJ47" s="240"/>
      <c r="FK47" s="240"/>
      <c r="FL47" s="240"/>
      <c r="FM47" s="240"/>
      <c r="FN47" s="240"/>
      <c r="FO47" s="238"/>
      <c r="FP47" s="240"/>
      <c r="FQ47" s="240"/>
      <c r="FR47" s="240"/>
      <c r="FS47" s="240"/>
      <c r="FT47" s="240"/>
      <c r="FU47" s="240"/>
      <c r="FV47" s="240"/>
      <c r="FW47" s="240"/>
      <c r="FX47" s="240"/>
      <c r="FY47" s="240"/>
      <c r="FZ47" s="238"/>
      <c r="GA47" s="240"/>
      <c r="GB47" s="240"/>
      <c r="GC47" s="238"/>
      <c r="GD47" s="240"/>
      <c r="GE47" s="240"/>
      <c r="GF47" s="240"/>
      <c r="GG47" s="272"/>
      <c r="GH47" s="238"/>
      <c r="GI47" s="276"/>
      <c r="GJ47" s="276"/>
      <c r="GK47" s="240"/>
      <c r="GL47" s="240"/>
      <c r="GM47" s="238"/>
      <c r="GN47" s="240"/>
      <c r="GO47" s="240"/>
      <c r="GP47" s="240"/>
      <c r="GQ47" s="240"/>
      <c r="GR47" s="240"/>
      <c r="GS47" s="240"/>
      <c r="GT47" s="240"/>
      <c r="GU47" s="240"/>
      <c r="GV47" s="240"/>
      <c r="GW47" s="240"/>
      <c r="GX47" s="240" t="s">
        <v>890</v>
      </c>
      <c r="GY47" s="240"/>
      <c r="GZ47" s="240"/>
      <c r="HA47" s="240"/>
      <c r="HB47" s="240"/>
      <c r="HC47" s="240"/>
      <c r="HD47" s="238"/>
      <c r="HE47" s="240"/>
      <c r="HF47" s="240"/>
      <c r="HG47" s="240" t="s">
        <v>890</v>
      </c>
      <c r="HH47" s="240"/>
      <c r="HI47" s="240"/>
      <c r="HJ47" s="238"/>
      <c r="HK47" s="240"/>
      <c r="HL47" s="238"/>
      <c r="HM47" s="241"/>
      <c r="HN47" s="235"/>
      <c r="HO47" s="235"/>
      <c r="HP47" s="235"/>
      <c r="HQ47" s="235"/>
    </row>
    <row r="48" spans="2:225" hidden="1" outlineLevel="1">
      <c r="B48" s="275"/>
      <c r="C48" s="258" t="s">
        <v>116</v>
      </c>
      <c r="D48" s="220" t="s">
        <v>3160</v>
      </c>
      <c r="E48" s="222"/>
      <c r="F48" s="222"/>
      <c r="G48" s="222"/>
      <c r="H48" s="224"/>
      <c r="I48" s="224"/>
      <c r="J48" s="224"/>
      <c r="K48" s="224"/>
      <c r="L48" s="224"/>
      <c r="M48" s="224"/>
      <c r="N48" s="224"/>
      <c r="O48" s="224"/>
      <c r="P48" s="224"/>
      <c r="Q48" s="224"/>
      <c r="R48" s="224"/>
      <c r="S48" s="224"/>
      <c r="T48" s="224"/>
      <c r="U48" s="224"/>
      <c r="V48" s="224"/>
      <c r="W48" s="224"/>
      <c r="X48" s="224"/>
      <c r="Y48" s="224"/>
      <c r="Z48" s="224"/>
      <c r="AA48" s="224"/>
      <c r="AB48" s="224"/>
      <c r="AC48" s="224"/>
      <c r="AD48" s="224"/>
      <c r="AE48" s="224"/>
      <c r="AF48" s="224"/>
      <c r="AG48" s="224"/>
      <c r="AH48" s="224"/>
      <c r="AI48" s="224"/>
      <c r="AJ48" s="224"/>
      <c r="AK48" s="224"/>
      <c r="AL48" s="224"/>
      <c r="AM48" s="224"/>
      <c r="AN48" s="224"/>
      <c r="AO48" s="224"/>
      <c r="AP48" s="224"/>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c r="BN48" s="224"/>
      <c r="BO48" s="224"/>
      <c r="BP48" s="224"/>
      <c r="BQ48" s="224"/>
      <c r="BR48" s="224"/>
      <c r="BS48" s="224"/>
      <c r="BT48" s="224"/>
      <c r="BU48" s="224"/>
      <c r="BV48" s="224"/>
      <c r="BW48" s="224"/>
      <c r="BX48" s="224"/>
      <c r="BY48" s="224"/>
      <c r="BZ48" s="224"/>
      <c r="CA48" s="224"/>
      <c r="CB48" s="224"/>
      <c r="CC48" s="224"/>
      <c r="CD48" s="224"/>
      <c r="CE48" s="224"/>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c r="HC48" s="224"/>
      <c r="HD48" s="224"/>
      <c r="HE48" s="224"/>
      <c r="HF48" s="224"/>
      <c r="HG48" s="224"/>
      <c r="HH48" s="224"/>
      <c r="HI48" s="224"/>
      <c r="HJ48" s="224"/>
      <c r="HK48" s="224"/>
      <c r="HL48" s="224"/>
      <c r="HM48" s="265"/>
      <c r="HN48" s="235"/>
      <c r="HO48" s="235"/>
      <c r="HP48" s="235"/>
      <c r="HQ48" s="235"/>
    </row>
    <row r="49" spans="2:225" hidden="1" outlineLevel="2">
      <c r="B49" s="277" t="s">
        <v>100</v>
      </c>
      <c r="C49" s="278" t="str">
        <f>IF(D7='3. Dropdowns'!C17,"Hide","Show")</f>
        <v>Show</v>
      </c>
      <c r="D49" s="236" t="s">
        <v>3161</v>
      </c>
      <c r="E49" s="248"/>
      <c r="F49" s="253" t="str">
        <f>IF(E49='3. Dropdowns'!C91,"","Submittals, Execution")</f>
        <v>Submittals, Execution</v>
      </c>
      <c r="G49" s="268"/>
      <c r="H49" s="238"/>
      <c r="I49" s="239"/>
      <c r="J49" s="240"/>
      <c r="K49" s="240"/>
      <c r="L49" s="240"/>
      <c r="M49" s="240"/>
      <c r="N49" s="240"/>
      <c r="O49" s="240"/>
      <c r="P49" s="240"/>
      <c r="Q49" s="240"/>
      <c r="R49" s="240"/>
      <c r="S49" s="240"/>
      <c r="T49" s="240" t="s">
        <v>890</v>
      </c>
      <c r="U49" s="240"/>
      <c r="V49" s="240"/>
      <c r="W49" s="240"/>
      <c r="X49" s="238"/>
      <c r="Y49" s="240"/>
      <c r="Z49" s="240"/>
      <c r="AA49" s="240"/>
      <c r="AB49" s="240"/>
      <c r="AC49" s="240"/>
      <c r="AD49" s="240"/>
      <c r="AE49" s="240"/>
      <c r="AF49" s="240"/>
      <c r="AG49" s="240"/>
      <c r="AH49" s="238"/>
      <c r="AI49" s="240"/>
      <c r="AJ49" s="240"/>
      <c r="AK49" s="240"/>
      <c r="AL49" s="240"/>
      <c r="AM49" s="238"/>
      <c r="AN49" s="240"/>
      <c r="AO49" s="240"/>
      <c r="AP49" s="240"/>
      <c r="AQ49" s="238"/>
      <c r="AR49" s="240"/>
      <c r="AS49" s="240"/>
      <c r="AT49" s="240"/>
      <c r="AU49" s="240"/>
      <c r="AV49" s="240"/>
      <c r="AW49" s="240"/>
      <c r="AX49" s="240"/>
      <c r="AY49" s="240"/>
      <c r="AZ49" s="238"/>
      <c r="BA49" s="240"/>
      <c r="BB49" s="240"/>
      <c r="BC49" s="240"/>
      <c r="BD49" s="240"/>
      <c r="BE49" s="240"/>
      <c r="BF49" s="240"/>
      <c r="BG49" s="240"/>
      <c r="BH49" s="240"/>
      <c r="BI49" s="240"/>
      <c r="BJ49" s="240"/>
      <c r="BK49" s="240"/>
      <c r="BL49" s="240"/>
      <c r="BM49" s="240"/>
      <c r="BN49" s="240"/>
      <c r="BO49" s="240"/>
      <c r="BP49" s="238"/>
      <c r="BQ49" s="240"/>
      <c r="BR49" s="240"/>
      <c r="BS49" s="240"/>
      <c r="BT49" s="240"/>
      <c r="BU49" s="240"/>
      <c r="BV49" s="240"/>
      <c r="BW49" s="240"/>
      <c r="BX49" s="240"/>
      <c r="BY49" s="240"/>
      <c r="BZ49" s="240"/>
      <c r="CA49" s="240"/>
      <c r="CB49" s="240"/>
      <c r="CC49" s="240"/>
      <c r="CD49" s="240"/>
      <c r="CE49" s="240"/>
      <c r="CF49" s="238"/>
      <c r="CG49" s="240"/>
      <c r="CH49" s="240"/>
      <c r="CI49" s="240"/>
      <c r="CJ49" s="240"/>
      <c r="CK49" s="240"/>
      <c r="CL49" s="240"/>
      <c r="CM49" s="240"/>
      <c r="CN49" s="240"/>
      <c r="CO49" s="240"/>
      <c r="CP49" s="240"/>
      <c r="CQ49" s="240"/>
      <c r="CR49" s="240"/>
      <c r="CS49" s="238"/>
      <c r="CT49" s="240"/>
      <c r="CU49" s="240"/>
      <c r="CV49" s="240"/>
      <c r="CW49" s="240"/>
      <c r="CX49" s="240"/>
      <c r="CY49" s="240"/>
      <c r="CZ49" s="240"/>
      <c r="DA49" s="240"/>
      <c r="DB49" s="240"/>
      <c r="DC49" s="240"/>
      <c r="DD49" s="240"/>
      <c r="DE49" s="240"/>
      <c r="DF49" s="238"/>
      <c r="DG49" s="240"/>
      <c r="DH49" s="240"/>
      <c r="DI49" s="240"/>
      <c r="DJ49" s="240"/>
      <c r="DK49" s="240"/>
      <c r="DL49" s="240"/>
      <c r="DM49" s="240"/>
      <c r="DN49" s="240"/>
      <c r="DO49" s="240"/>
      <c r="DP49" s="240"/>
      <c r="DQ49" s="240"/>
      <c r="DR49" s="238"/>
      <c r="DS49" s="240"/>
      <c r="DT49" s="240"/>
      <c r="DU49" s="240"/>
      <c r="DV49" s="238"/>
      <c r="DW49" s="240"/>
      <c r="DX49" s="240"/>
      <c r="DY49" s="240"/>
      <c r="DZ49" s="240"/>
      <c r="EA49" s="240"/>
      <c r="EB49" s="240"/>
      <c r="EC49" s="240"/>
      <c r="ED49" s="240"/>
      <c r="EE49" s="240"/>
      <c r="EF49" s="238"/>
      <c r="EG49" s="240"/>
      <c r="EH49" s="240"/>
      <c r="EI49" s="240"/>
      <c r="EJ49" s="238"/>
      <c r="EK49" s="240"/>
      <c r="EL49" s="238"/>
      <c r="EM49" s="240"/>
      <c r="EN49" s="240"/>
      <c r="EO49" s="240"/>
      <c r="EP49" s="240"/>
      <c r="EQ49" s="240"/>
      <c r="ER49" s="240"/>
      <c r="ES49" s="240"/>
      <c r="ET49" s="240"/>
      <c r="EU49" s="240"/>
      <c r="EV49" s="240"/>
      <c r="EW49" s="240"/>
      <c r="EX49" s="238"/>
      <c r="EY49" s="240"/>
      <c r="EZ49" s="240"/>
      <c r="FA49" s="240"/>
      <c r="FB49" s="240"/>
      <c r="FC49" s="240"/>
      <c r="FD49" s="240"/>
      <c r="FE49" s="240"/>
      <c r="FF49" s="240"/>
      <c r="FG49" s="240"/>
      <c r="FH49" s="240"/>
      <c r="FI49" s="240"/>
      <c r="FJ49" s="240"/>
      <c r="FK49" s="240"/>
      <c r="FL49" s="240"/>
      <c r="FM49" s="240"/>
      <c r="FN49" s="240"/>
      <c r="FO49" s="238"/>
      <c r="FP49" s="240"/>
      <c r="FQ49" s="240"/>
      <c r="FR49" s="240"/>
      <c r="FS49" s="240"/>
      <c r="FT49" s="240"/>
      <c r="FU49" s="240"/>
      <c r="FV49" s="240"/>
      <c r="FW49" s="240"/>
      <c r="FX49" s="240"/>
      <c r="FY49" s="240"/>
      <c r="FZ49" s="238"/>
      <c r="GA49" s="240"/>
      <c r="GB49" s="240"/>
      <c r="GC49" s="238"/>
      <c r="GD49" s="240"/>
      <c r="GE49" s="240"/>
      <c r="GF49" s="240"/>
      <c r="GG49" s="272"/>
      <c r="GH49" s="238"/>
      <c r="GI49" s="276"/>
      <c r="GJ49" s="276"/>
      <c r="GK49" s="240"/>
      <c r="GL49" s="240"/>
      <c r="GM49" s="238"/>
      <c r="GN49" s="240"/>
      <c r="GO49" s="240"/>
      <c r="GP49" s="240"/>
      <c r="GQ49" s="240"/>
      <c r="GR49" s="240" t="s">
        <v>890</v>
      </c>
      <c r="GS49" s="240"/>
      <c r="GT49" s="240"/>
      <c r="GU49" s="240" t="s">
        <v>890</v>
      </c>
      <c r="GV49" s="240"/>
      <c r="GW49" s="240"/>
      <c r="GX49" s="240"/>
      <c r="GY49" s="240"/>
      <c r="GZ49" s="240"/>
      <c r="HA49" s="240"/>
      <c r="HB49" s="240"/>
      <c r="HC49" s="240"/>
      <c r="HD49" s="238"/>
      <c r="HE49" s="240"/>
      <c r="HF49" s="240"/>
      <c r="HG49" s="240"/>
      <c r="HH49" s="240"/>
      <c r="HI49" s="240"/>
      <c r="HJ49" s="238"/>
      <c r="HK49" s="240"/>
      <c r="HL49" s="238"/>
      <c r="HM49" s="241"/>
      <c r="HN49" s="235"/>
      <c r="HO49" s="235"/>
      <c r="HP49" s="235"/>
      <c r="HQ49" s="235"/>
    </row>
    <row r="50" spans="2:225" hidden="1" outlineLevel="2">
      <c r="B50" s="275"/>
      <c r="C50" s="258" t="s">
        <v>116</v>
      </c>
      <c r="D50" s="236" t="s">
        <v>3162</v>
      </c>
      <c r="E50" s="248"/>
      <c r="F50" s="253" t="str">
        <f>IF(E50='3. Dropdowns'!C91,"","Submittals, Execution")</f>
        <v>Submittals, Execution</v>
      </c>
      <c r="G50" s="268"/>
      <c r="H50" s="238"/>
      <c r="I50" s="239"/>
      <c r="J50" s="240"/>
      <c r="K50" s="240"/>
      <c r="L50" s="240"/>
      <c r="M50" s="240"/>
      <c r="N50" s="240"/>
      <c r="O50" s="240"/>
      <c r="P50" s="240"/>
      <c r="Q50" s="240"/>
      <c r="R50" s="240"/>
      <c r="S50" s="240"/>
      <c r="T50" s="240" t="s">
        <v>890</v>
      </c>
      <c r="U50" s="240"/>
      <c r="V50" s="240"/>
      <c r="W50" s="240"/>
      <c r="X50" s="238"/>
      <c r="Y50" s="240"/>
      <c r="Z50" s="240"/>
      <c r="AA50" s="240"/>
      <c r="AB50" s="240"/>
      <c r="AC50" s="240"/>
      <c r="AD50" s="240"/>
      <c r="AE50" s="240"/>
      <c r="AF50" s="240"/>
      <c r="AG50" s="240"/>
      <c r="AH50" s="238"/>
      <c r="AI50" s="240"/>
      <c r="AJ50" s="240"/>
      <c r="AK50" s="240"/>
      <c r="AL50" s="240"/>
      <c r="AM50" s="238"/>
      <c r="AN50" s="240"/>
      <c r="AO50" s="240"/>
      <c r="AP50" s="240"/>
      <c r="AQ50" s="238"/>
      <c r="AR50" s="240"/>
      <c r="AS50" s="240"/>
      <c r="AT50" s="240"/>
      <c r="AU50" s="240"/>
      <c r="AV50" s="240"/>
      <c r="AW50" s="240"/>
      <c r="AX50" s="240"/>
      <c r="AY50" s="240"/>
      <c r="AZ50" s="238"/>
      <c r="BA50" s="240"/>
      <c r="BB50" s="240"/>
      <c r="BC50" s="240"/>
      <c r="BD50" s="240"/>
      <c r="BE50" s="240"/>
      <c r="BF50" s="240"/>
      <c r="BG50" s="240"/>
      <c r="BH50" s="240"/>
      <c r="BI50" s="240"/>
      <c r="BJ50" s="240"/>
      <c r="BK50" s="240"/>
      <c r="BL50" s="240"/>
      <c r="BM50" s="240"/>
      <c r="BN50" s="240"/>
      <c r="BO50" s="240"/>
      <c r="BP50" s="238"/>
      <c r="BQ50" s="240"/>
      <c r="BR50" s="240"/>
      <c r="BS50" s="240"/>
      <c r="BT50" s="240"/>
      <c r="BU50" s="240"/>
      <c r="BV50" s="240"/>
      <c r="BW50" s="240"/>
      <c r="BX50" s="240"/>
      <c r="BY50" s="240"/>
      <c r="BZ50" s="240"/>
      <c r="CA50" s="240"/>
      <c r="CB50" s="240"/>
      <c r="CC50" s="240"/>
      <c r="CD50" s="240"/>
      <c r="CE50" s="240"/>
      <c r="CF50" s="238"/>
      <c r="CG50" s="240"/>
      <c r="CH50" s="240"/>
      <c r="CI50" s="240"/>
      <c r="CJ50" s="240"/>
      <c r="CK50" s="240"/>
      <c r="CL50" s="240"/>
      <c r="CM50" s="240"/>
      <c r="CN50" s="240"/>
      <c r="CO50" s="240"/>
      <c r="CP50" s="240"/>
      <c r="CQ50" s="240"/>
      <c r="CR50" s="240"/>
      <c r="CS50" s="238"/>
      <c r="CT50" s="240"/>
      <c r="CU50" s="240"/>
      <c r="CV50" s="240"/>
      <c r="CW50" s="240"/>
      <c r="CX50" s="240"/>
      <c r="CY50" s="240"/>
      <c r="CZ50" s="240"/>
      <c r="DA50" s="240"/>
      <c r="DB50" s="240"/>
      <c r="DC50" s="240"/>
      <c r="DD50" s="240"/>
      <c r="DE50" s="240"/>
      <c r="DF50" s="238"/>
      <c r="DG50" s="240"/>
      <c r="DH50" s="240"/>
      <c r="DI50" s="240"/>
      <c r="DJ50" s="240"/>
      <c r="DK50" s="240"/>
      <c r="DL50" s="240"/>
      <c r="DM50" s="240"/>
      <c r="DN50" s="240"/>
      <c r="DO50" s="240"/>
      <c r="DP50" s="240"/>
      <c r="DQ50" s="240"/>
      <c r="DR50" s="238"/>
      <c r="DS50" s="240"/>
      <c r="DT50" s="240"/>
      <c r="DU50" s="240"/>
      <c r="DV50" s="238"/>
      <c r="DW50" s="240"/>
      <c r="DX50" s="240"/>
      <c r="DY50" s="240"/>
      <c r="DZ50" s="240"/>
      <c r="EA50" s="240"/>
      <c r="EB50" s="240"/>
      <c r="EC50" s="240"/>
      <c r="ED50" s="240"/>
      <c r="EE50" s="240"/>
      <c r="EF50" s="238"/>
      <c r="EG50" s="240"/>
      <c r="EH50" s="240"/>
      <c r="EI50" s="240"/>
      <c r="EJ50" s="238"/>
      <c r="EK50" s="240"/>
      <c r="EL50" s="238"/>
      <c r="EM50" s="240"/>
      <c r="EN50" s="240"/>
      <c r="EO50" s="240"/>
      <c r="EP50" s="240"/>
      <c r="EQ50" s="240"/>
      <c r="ER50" s="240"/>
      <c r="ES50" s="240"/>
      <c r="ET50" s="240"/>
      <c r="EU50" s="240"/>
      <c r="EV50" s="240"/>
      <c r="EW50" s="240"/>
      <c r="EX50" s="238"/>
      <c r="EY50" s="240"/>
      <c r="EZ50" s="240"/>
      <c r="FA50" s="240"/>
      <c r="FB50" s="240"/>
      <c r="FC50" s="240"/>
      <c r="FD50" s="240"/>
      <c r="FE50" s="240"/>
      <c r="FF50" s="240"/>
      <c r="FG50" s="240"/>
      <c r="FH50" s="240"/>
      <c r="FI50" s="240"/>
      <c r="FJ50" s="240"/>
      <c r="FK50" s="240"/>
      <c r="FL50" s="240"/>
      <c r="FM50" s="240"/>
      <c r="FN50" s="240"/>
      <c r="FO50" s="238"/>
      <c r="FP50" s="240"/>
      <c r="FQ50" s="240"/>
      <c r="FR50" s="240"/>
      <c r="FS50" s="240"/>
      <c r="FT50" s="240"/>
      <c r="FU50" s="240"/>
      <c r="FV50" s="240"/>
      <c r="FW50" s="240"/>
      <c r="FX50" s="240"/>
      <c r="FY50" s="240"/>
      <c r="FZ50" s="238"/>
      <c r="GA50" s="240"/>
      <c r="GB50" s="240"/>
      <c r="GC50" s="238"/>
      <c r="GD50" s="240"/>
      <c r="GE50" s="240"/>
      <c r="GF50" s="240"/>
      <c r="GG50" s="272"/>
      <c r="GH50" s="238"/>
      <c r="GI50" s="276"/>
      <c r="GJ50" s="276"/>
      <c r="GK50" s="240"/>
      <c r="GL50" s="240"/>
      <c r="GM50" s="238"/>
      <c r="GN50" s="240"/>
      <c r="GO50" s="240"/>
      <c r="GP50" s="240"/>
      <c r="GQ50" s="240"/>
      <c r="GR50" s="240"/>
      <c r="GS50" s="240"/>
      <c r="GT50" s="240"/>
      <c r="GU50" s="240" t="s">
        <v>890</v>
      </c>
      <c r="GV50" s="240"/>
      <c r="GW50" s="240"/>
      <c r="GX50" s="240"/>
      <c r="GY50" s="240"/>
      <c r="GZ50" s="240"/>
      <c r="HA50" s="240"/>
      <c r="HB50" s="240"/>
      <c r="HC50" s="240"/>
      <c r="HD50" s="238"/>
      <c r="HE50" s="240"/>
      <c r="HF50" s="240"/>
      <c r="HG50" s="240"/>
      <c r="HH50" s="240"/>
      <c r="HI50" s="240" t="s">
        <v>890</v>
      </c>
      <c r="HJ50" s="238"/>
      <c r="HK50" s="240" t="s">
        <v>890</v>
      </c>
      <c r="HL50" s="238"/>
      <c r="HM50" s="241"/>
      <c r="HN50" s="235"/>
      <c r="HO50" s="235"/>
      <c r="HP50" s="235"/>
      <c r="HQ50" s="235"/>
    </row>
    <row r="51" spans="2:225" hidden="1" outlineLevel="2">
      <c r="B51" s="275"/>
      <c r="C51" s="258" t="s">
        <v>116</v>
      </c>
      <c r="D51" s="236" t="s">
        <v>3163</v>
      </c>
      <c r="E51" s="248"/>
      <c r="F51" s="253" t="str">
        <f>IF(E51='3. Dropdowns'!C91,"","Submittals, Execution")</f>
        <v>Submittals, Execution</v>
      </c>
      <c r="G51" s="268"/>
      <c r="H51" s="238"/>
      <c r="I51" s="239"/>
      <c r="J51" s="240"/>
      <c r="K51" s="240"/>
      <c r="L51" s="240"/>
      <c r="M51" s="240"/>
      <c r="N51" s="240"/>
      <c r="O51" s="240"/>
      <c r="P51" s="240"/>
      <c r="Q51" s="240"/>
      <c r="R51" s="240"/>
      <c r="S51" s="240"/>
      <c r="T51" s="240" t="s">
        <v>890</v>
      </c>
      <c r="U51" s="240"/>
      <c r="V51" s="240"/>
      <c r="W51" s="240"/>
      <c r="X51" s="238"/>
      <c r="Y51" s="240"/>
      <c r="Z51" s="240"/>
      <c r="AA51" s="240"/>
      <c r="AB51" s="240"/>
      <c r="AC51" s="240"/>
      <c r="AD51" s="240"/>
      <c r="AE51" s="240"/>
      <c r="AF51" s="240"/>
      <c r="AG51" s="240"/>
      <c r="AH51" s="238"/>
      <c r="AI51" s="240"/>
      <c r="AJ51" s="240"/>
      <c r="AK51" s="240"/>
      <c r="AL51" s="240"/>
      <c r="AM51" s="238"/>
      <c r="AN51" s="240"/>
      <c r="AO51" s="240"/>
      <c r="AP51" s="240"/>
      <c r="AQ51" s="238"/>
      <c r="AR51" s="240"/>
      <c r="AS51" s="240"/>
      <c r="AT51" s="240"/>
      <c r="AU51" s="240"/>
      <c r="AV51" s="240"/>
      <c r="AW51" s="240"/>
      <c r="AX51" s="240"/>
      <c r="AY51" s="240"/>
      <c r="AZ51" s="238"/>
      <c r="BA51" s="240"/>
      <c r="BB51" s="240"/>
      <c r="BC51" s="240"/>
      <c r="BD51" s="240"/>
      <c r="BE51" s="240"/>
      <c r="BF51" s="240"/>
      <c r="BG51" s="240"/>
      <c r="BH51" s="240"/>
      <c r="BI51" s="240"/>
      <c r="BJ51" s="240"/>
      <c r="BK51" s="240"/>
      <c r="BL51" s="240"/>
      <c r="BM51" s="240"/>
      <c r="BN51" s="240"/>
      <c r="BO51" s="240"/>
      <c r="BP51" s="238"/>
      <c r="BQ51" s="240"/>
      <c r="BR51" s="240"/>
      <c r="BS51" s="240"/>
      <c r="BT51" s="240"/>
      <c r="BU51" s="240"/>
      <c r="BV51" s="240"/>
      <c r="BW51" s="240"/>
      <c r="BX51" s="240"/>
      <c r="BY51" s="240"/>
      <c r="BZ51" s="240"/>
      <c r="CA51" s="240"/>
      <c r="CB51" s="240"/>
      <c r="CC51" s="240"/>
      <c r="CD51" s="240"/>
      <c r="CE51" s="240"/>
      <c r="CF51" s="238"/>
      <c r="CG51" s="240"/>
      <c r="CH51" s="240"/>
      <c r="CI51" s="240"/>
      <c r="CJ51" s="240"/>
      <c r="CK51" s="240"/>
      <c r="CL51" s="240"/>
      <c r="CM51" s="240"/>
      <c r="CN51" s="240"/>
      <c r="CO51" s="240"/>
      <c r="CP51" s="240"/>
      <c r="CQ51" s="240"/>
      <c r="CR51" s="240"/>
      <c r="CS51" s="238"/>
      <c r="CT51" s="240"/>
      <c r="CU51" s="240"/>
      <c r="CV51" s="240"/>
      <c r="CW51" s="240"/>
      <c r="CX51" s="240"/>
      <c r="CY51" s="240"/>
      <c r="CZ51" s="240"/>
      <c r="DA51" s="240"/>
      <c r="DB51" s="240"/>
      <c r="DC51" s="240"/>
      <c r="DD51" s="240"/>
      <c r="DE51" s="240"/>
      <c r="DF51" s="238"/>
      <c r="DG51" s="240"/>
      <c r="DH51" s="240"/>
      <c r="DI51" s="240"/>
      <c r="DJ51" s="240"/>
      <c r="DK51" s="240"/>
      <c r="DL51" s="240"/>
      <c r="DM51" s="240"/>
      <c r="DN51" s="240"/>
      <c r="DO51" s="240"/>
      <c r="DP51" s="240"/>
      <c r="DQ51" s="240"/>
      <c r="DR51" s="238"/>
      <c r="DS51" s="240"/>
      <c r="DT51" s="240"/>
      <c r="DU51" s="240"/>
      <c r="DV51" s="238"/>
      <c r="DW51" s="240"/>
      <c r="DX51" s="240"/>
      <c r="DY51" s="240"/>
      <c r="DZ51" s="240"/>
      <c r="EA51" s="240"/>
      <c r="EB51" s="240"/>
      <c r="EC51" s="240"/>
      <c r="ED51" s="240"/>
      <c r="EE51" s="240"/>
      <c r="EF51" s="238"/>
      <c r="EG51" s="240"/>
      <c r="EH51" s="240"/>
      <c r="EI51" s="240"/>
      <c r="EJ51" s="238"/>
      <c r="EK51" s="240"/>
      <c r="EL51" s="238"/>
      <c r="EM51" s="240"/>
      <c r="EN51" s="240"/>
      <c r="EO51" s="240"/>
      <c r="EP51" s="240"/>
      <c r="EQ51" s="240"/>
      <c r="ER51" s="240"/>
      <c r="ES51" s="240"/>
      <c r="ET51" s="240"/>
      <c r="EU51" s="240"/>
      <c r="EV51" s="240"/>
      <c r="EW51" s="240"/>
      <c r="EX51" s="238"/>
      <c r="EY51" s="240"/>
      <c r="EZ51" s="240"/>
      <c r="FA51" s="240"/>
      <c r="FB51" s="240"/>
      <c r="FC51" s="240"/>
      <c r="FD51" s="240"/>
      <c r="FE51" s="240"/>
      <c r="FF51" s="240"/>
      <c r="FG51" s="240"/>
      <c r="FH51" s="240"/>
      <c r="FI51" s="240"/>
      <c r="FJ51" s="240"/>
      <c r="FK51" s="240"/>
      <c r="FL51" s="240"/>
      <c r="FM51" s="240"/>
      <c r="FN51" s="240"/>
      <c r="FO51" s="238"/>
      <c r="FP51" s="240"/>
      <c r="FQ51" s="240"/>
      <c r="FR51" s="240"/>
      <c r="FS51" s="240"/>
      <c r="FT51" s="240"/>
      <c r="FU51" s="240"/>
      <c r="FV51" s="240"/>
      <c r="FW51" s="240"/>
      <c r="FX51" s="240"/>
      <c r="FY51" s="240"/>
      <c r="FZ51" s="238"/>
      <c r="GA51" s="240"/>
      <c r="GB51" s="240"/>
      <c r="GC51" s="238"/>
      <c r="GD51" s="240"/>
      <c r="GE51" s="240"/>
      <c r="GF51" s="240"/>
      <c r="GG51" s="272"/>
      <c r="GH51" s="238"/>
      <c r="GI51" s="276"/>
      <c r="GJ51" s="276"/>
      <c r="GK51" s="240"/>
      <c r="GL51" s="240"/>
      <c r="GM51" s="238"/>
      <c r="GN51" s="240"/>
      <c r="GO51" s="240"/>
      <c r="GP51" s="240"/>
      <c r="GQ51" s="240"/>
      <c r="GR51" s="240"/>
      <c r="GS51" s="240"/>
      <c r="GT51" s="240"/>
      <c r="GU51" s="240" t="s">
        <v>890</v>
      </c>
      <c r="GV51" s="240"/>
      <c r="GW51" s="240"/>
      <c r="GX51" s="240"/>
      <c r="GY51" s="240"/>
      <c r="GZ51" s="240"/>
      <c r="HA51" s="240"/>
      <c r="HB51" s="240"/>
      <c r="HC51" s="240"/>
      <c r="HD51" s="238"/>
      <c r="HE51" s="240"/>
      <c r="HF51" s="240"/>
      <c r="HG51" s="240"/>
      <c r="HH51" s="240"/>
      <c r="HI51" s="240"/>
      <c r="HJ51" s="238"/>
      <c r="HK51" s="240"/>
      <c r="HL51" s="238"/>
      <c r="HM51" s="241"/>
      <c r="HN51" s="235"/>
      <c r="HO51" s="235"/>
      <c r="HP51" s="235"/>
      <c r="HQ51" s="235"/>
    </row>
    <row r="52" spans="2:225" hidden="1" outlineLevel="2">
      <c r="B52" s="275"/>
      <c r="C52" s="258" t="s">
        <v>116</v>
      </c>
      <c r="D52" s="236" t="s">
        <v>3164</v>
      </c>
      <c r="E52" s="248"/>
      <c r="F52" s="253" t="str">
        <f>IF(E52='3. Dropdowns'!C91,"","Submittals, Products, Execution")</f>
        <v>Submittals, Products, Execution</v>
      </c>
      <c r="G52" s="268"/>
      <c r="H52" s="238"/>
      <c r="I52" s="239"/>
      <c r="J52" s="240"/>
      <c r="K52" s="240"/>
      <c r="L52" s="240"/>
      <c r="M52" s="240"/>
      <c r="N52" s="240"/>
      <c r="O52" s="240"/>
      <c r="P52" s="240"/>
      <c r="Q52" s="240"/>
      <c r="R52" s="240"/>
      <c r="S52" s="240"/>
      <c r="T52" s="240" t="s">
        <v>890</v>
      </c>
      <c r="U52" s="240"/>
      <c r="V52" s="240"/>
      <c r="W52" s="240"/>
      <c r="X52" s="238"/>
      <c r="Y52" s="240"/>
      <c r="Z52" s="240"/>
      <c r="AA52" s="240"/>
      <c r="AB52" s="240"/>
      <c r="AC52" s="240"/>
      <c r="AD52" s="240"/>
      <c r="AE52" s="240"/>
      <c r="AF52" s="240"/>
      <c r="AG52" s="240"/>
      <c r="AH52" s="238"/>
      <c r="AI52" s="240"/>
      <c r="AJ52" s="240"/>
      <c r="AK52" s="240"/>
      <c r="AL52" s="240"/>
      <c r="AM52" s="238"/>
      <c r="AN52" s="240"/>
      <c r="AO52" s="240"/>
      <c r="AP52" s="240"/>
      <c r="AQ52" s="238"/>
      <c r="AR52" s="240"/>
      <c r="AS52" s="240"/>
      <c r="AT52" s="240"/>
      <c r="AU52" s="240"/>
      <c r="AV52" s="240"/>
      <c r="AW52" s="240"/>
      <c r="AX52" s="240"/>
      <c r="AY52" s="240"/>
      <c r="AZ52" s="238"/>
      <c r="BA52" s="240"/>
      <c r="BB52" s="240"/>
      <c r="BC52" s="240"/>
      <c r="BD52" s="240"/>
      <c r="BE52" s="240"/>
      <c r="BF52" s="240"/>
      <c r="BG52" s="240"/>
      <c r="BH52" s="240"/>
      <c r="BI52" s="240"/>
      <c r="BJ52" s="240"/>
      <c r="BK52" s="240"/>
      <c r="BL52" s="240"/>
      <c r="BM52" s="240"/>
      <c r="BN52" s="240"/>
      <c r="BO52" s="240"/>
      <c r="BP52" s="238"/>
      <c r="BQ52" s="240"/>
      <c r="BR52" s="240"/>
      <c r="BS52" s="240"/>
      <c r="BT52" s="240"/>
      <c r="BU52" s="240"/>
      <c r="BV52" s="240"/>
      <c r="BW52" s="240"/>
      <c r="BX52" s="240"/>
      <c r="BY52" s="240"/>
      <c r="BZ52" s="240"/>
      <c r="CA52" s="240"/>
      <c r="CB52" s="240"/>
      <c r="CC52" s="240"/>
      <c r="CD52" s="240"/>
      <c r="CE52" s="240"/>
      <c r="CF52" s="238"/>
      <c r="CG52" s="240"/>
      <c r="CH52" s="240"/>
      <c r="CI52" s="240"/>
      <c r="CJ52" s="240"/>
      <c r="CK52" s="240"/>
      <c r="CL52" s="240"/>
      <c r="CM52" s="240"/>
      <c r="CN52" s="240"/>
      <c r="CO52" s="240"/>
      <c r="CP52" s="240"/>
      <c r="CQ52" s="240"/>
      <c r="CR52" s="240"/>
      <c r="CS52" s="238"/>
      <c r="CT52" s="240"/>
      <c r="CU52" s="240"/>
      <c r="CV52" s="240"/>
      <c r="CW52" s="240"/>
      <c r="CX52" s="240"/>
      <c r="CY52" s="240"/>
      <c r="CZ52" s="240"/>
      <c r="DA52" s="240"/>
      <c r="DB52" s="240"/>
      <c r="DC52" s="240"/>
      <c r="DD52" s="240"/>
      <c r="DE52" s="240"/>
      <c r="DF52" s="238"/>
      <c r="DG52" s="240"/>
      <c r="DH52" s="240"/>
      <c r="DI52" s="240"/>
      <c r="DJ52" s="240"/>
      <c r="DK52" s="240"/>
      <c r="DL52" s="240"/>
      <c r="DM52" s="240"/>
      <c r="DN52" s="240"/>
      <c r="DO52" s="240"/>
      <c r="DP52" s="240"/>
      <c r="DQ52" s="240"/>
      <c r="DR52" s="238"/>
      <c r="DS52" s="240"/>
      <c r="DT52" s="240"/>
      <c r="DU52" s="240"/>
      <c r="DV52" s="238"/>
      <c r="DW52" s="240"/>
      <c r="DX52" s="240"/>
      <c r="DY52" s="240"/>
      <c r="DZ52" s="240"/>
      <c r="EA52" s="240"/>
      <c r="EB52" s="240"/>
      <c r="EC52" s="240"/>
      <c r="ED52" s="240"/>
      <c r="EE52" s="240"/>
      <c r="EF52" s="238"/>
      <c r="EG52" s="240"/>
      <c r="EH52" s="240"/>
      <c r="EI52" s="240"/>
      <c r="EJ52" s="238"/>
      <c r="EK52" s="240"/>
      <c r="EL52" s="238"/>
      <c r="EM52" s="240"/>
      <c r="EN52" s="240"/>
      <c r="EO52" s="240"/>
      <c r="EP52" s="240"/>
      <c r="EQ52" s="240"/>
      <c r="ER52" s="240"/>
      <c r="ES52" s="240"/>
      <c r="ET52" s="240"/>
      <c r="EU52" s="240"/>
      <c r="EV52" s="240"/>
      <c r="EW52" s="240"/>
      <c r="EX52" s="238"/>
      <c r="EY52" s="240"/>
      <c r="EZ52" s="240"/>
      <c r="FA52" s="240"/>
      <c r="FB52" s="240"/>
      <c r="FC52" s="240"/>
      <c r="FD52" s="240"/>
      <c r="FE52" s="240"/>
      <c r="FF52" s="240"/>
      <c r="FG52" s="240"/>
      <c r="FH52" s="240"/>
      <c r="FI52" s="240"/>
      <c r="FJ52" s="240"/>
      <c r="FK52" s="240"/>
      <c r="FL52" s="240"/>
      <c r="FM52" s="240"/>
      <c r="FN52" s="240"/>
      <c r="FO52" s="238"/>
      <c r="FP52" s="240"/>
      <c r="FQ52" s="240"/>
      <c r="FR52" s="240"/>
      <c r="FS52" s="240"/>
      <c r="FT52" s="240"/>
      <c r="FU52" s="240"/>
      <c r="FV52" s="240"/>
      <c r="FW52" s="240"/>
      <c r="FX52" s="240"/>
      <c r="FY52" s="240"/>
      <c r="FZ52" s="238"/>
      <c r="GA52" s="240"/>
      <c r="GB52" s="240"/>
      <c r="GC52" s="238"/>
      <c r="GD52" s="240"/>
      <c r="GE52" s="240"/>
      <c r="GF52" s="240"/>
      <c r="GG52" s="272"/>
      <c r="GH52" s="238"/>
      <c r="GI52" s="276"/>
      <c r="GJ52" s="276"/>
      <c r="GK52" s="240"/>
      <c r="GL52" s="240"/>
      <c r="GM52" s="238"/>
      <c r="GN52" s="240"/>
      <c r="GO52" s="240"/>
      <c r="GP52" s="240"/>
      <c r="GQ52" s="240"/>
      <c r="GR52" s="240"/>
      <c r="GS52" s="240"/>
      <c r="GT52" s="240"/>
      <c r="GU52" s="240"/>
      <c r="GV52" s="240" t="s">
        <v>890</v>
      </c>
      <c r="GW52" s="240"/>
      <c r="GX52" s="240"/>
      <c r="GY52" s="240"/>
      <c r="GZ52" s="240"/>
      <c r="HA52" s="240"/>
      <c r="HB52" s="240"/>
      <c r="HC52" s="240"/>
      <c r="HD52" s="238"/>
      <c r="HE52" s="240"/>
      <c r="HF52" s="240"/>
      <c r="HG52" s="240"/>
      <c r="HH52" s="240"/>
      <c r="HI52" s="240"/>
      <c r="HJ52" s="238"/>
      <c r="HK52" s="240"/>
      <c r="HL52" s="238"/>
      <c r="HM52" s="241"/>
      <c r="HN52" s="235"/>
      <c r="HO52" s="235"/>
      <c r="HP52" s="235"/>
      <c r="HQ52" s="235"/>
    </row>
    <row r="53" spans="2:225" ht="37.5" hidden="1" outlineLevel="2">
      <c r="B53" s="279" t="s">
        <v>686</v>
      </c>
      <c r="C53" s="278" t="str">
        <f>IF(OR(D5='3. Dropdowns'!C8,D5='3. Dropdowns'!C9),"Hide","Show")</f>
        <v>Show</v>
      </c>
      <c r="D53" s="236" t="s">
        <v>3165</v>
      </c>
      <c r="E53" s="248"/>
      <c r="F53" s="253" t="str">
        <f>IF(E53='3. Dropdowns'!C91,"","Submittals, Execution")</f>
        <v>Submittals, Execution</v>
      </c>
      <c r="G53" s="268"/>
      <c r="H53" s="238"/>
      <c r="I53" s="239"/>
      <c r="J53" s="240"/>
      <c r="K53" s="240"/>
      <c r="L53" s="240"/>
      <c r="M53" s="240"/>
      <c r="N53" s="240"/>
      <c r="O53" s="240"/>
      <c r="P53" s="240"/>
      <c r="Q53" s="240"/>
      <c r="R53" s="240"/>
      <c r="S53" s="240"/>
      <c r="T53" s="240" t="s">
        <v>890</v>
      </c>
      <c r="U53" s="240"/>
      <c r="V53" s="240"/>
      <c r="W53" s="240"/>
      <c r="X53" s="238"/>
      <c r="Y53" s="240"/>
      <c r="Z53" s="240"/>
      <c r="AA53" s="240"/>
      <c r="AB53" s="240"/>
      <c r="AC53" s="240"/>
      <c r="AD53" s="240"/>
      <c r="AE53" s="240"/>
      <c r="AF53" s="240"/>
      <c r="AG53" s="240"/>
      <c r="AH53" s="238"/>
      <c r="AI53" s="240"/>
      <c r="AJ53" s="240"/>
      <c r="AK53" s="240"/>
      <c r="AL53" s="240"/>
      <c r="AM53" s="238"/>
      <c r="AN53" s="240"/>
      <c r="AO53" s="240"/>
      <c r="AP53" s="240"/>
      <c r="AQ53" s="238"/>
      <c r="AR53" s="240"/>
      <c r="AS53" s="240"/>
      <c r="AT53" s="240"/>
      <c r="AU53" s="240"/>
      <c r="AV53" s="240"/>
      <c r="AW53" s="240"/>
      <c r="AX53" s="240"/>
      <c r="AY53" s="240"/>
      <c r="AZ53" s="238"/>
      <c r="BA53" s="240"/>
      <c r="BB53" s="240"/>
      <c r="BC53" s="240"/>
      <c r="BD53" s="240"/>
      <c r="BE53" s="240"/>
      <c r="BF53" s="240"/>
      <c r="BG53" s="240"/>
      <c r="BH53" s="240"/>
      <c r="BI53" s="240"/>
      <c r="BJ53" s="240"/>
      <c r="BK53" s="240"/>
      <c r="BL53" s="240"/>
      <c r="BM53" s="240"/>
      <c r="BN53" s="240"/>
      <c r="BO53" s="240"/>
      <c r="BP53" s="238"/>
      <c r="BQ53" s="240"/>
      <c r="BR53" s="240"/>
      <c r="BS53" s="240"/>
      <c r="BT53" s="240"/>
      <c r="BU53" s="240"/>
      <c r="BV53" s="240"/>
      <c r="BW53" s="240"/>
      <c r="BX53" s="240"/>
      <c r="BY53" s="240"/>
      <c r="BZ53" s="240"/>
      <c r="CA53" s="240"/>
      <c r="CB53" s="240"/>
      <c r="CC53" s="240"/>
      <c r="CD53" s="240"/>
      <c r="CE53" s="240"/>
      <c r="CF53" s="238"/>
      <c r="CG53" s="240"/>
      <c r="CH53" s="240"/>
      <c r="CI53" s="240"/>
      <c r="CJ53" s="240"/>
      <c r="CK53" s="240"/>
      <c r="CL53" s="240"/>
      <c r="CM53" s="240"/>
      <c r="CN53" s="240"/>
      <c r="CO53" s="240"/>
      <c r="CP53" s="240"/>
      <c r="CQ53" s="240"/>
      <c r="CR53" s="240"/>
      <c r="CS53" s="238"/>
      <c r="CT53" s="240"/>
      <c r="CU53" s="240"/>
      <c r="CV53" s="240"/>
      <c r="CW53" s="240"/>
      <c r="CX53" s="240"/>
      <c r="CY53" s="240"/>
      <c r="CZ53" s="240"/>
      <c r="DA53" s="240"/>
      <c r="DB53" s="240"/>
      <c r="DC53" s="240"/>
      <c r="DD53" s="240"/>
      <c r="DE53" s="240"/>
      <c r="DF53" s="238"/>
      <c r="DG53" s="240"/>
      <c r="DH53" s="240"/>
      <c r="DI53" s="240"/>
      <c r="DJ53" s="240"/>
      <c r="DK53" s="240"/>
      <c r="DL53" s="240"/>
      <c r="DM53" s="240"/>
      <c r="DN53" s="240"/>
      <c r="DO53" s="240"/>
      <c r="DP53" s="240"/>
      <c r="DQ53" s="240"/>
      <c r="DR53" s="238"/>
      <c r="DS53" s="240"/>
      <c r="DT53" s="240"/>
      <c r="DU53" s="240"/>
      <c r="DV53" s="238"/>
      <c r="DW53" s="240"/>
      <c r="DX53" s="240"/>
      <c r="DY53" s="240"/>
      <c r="DZ53" s="240"/>
      <c r="EA53" s="240"/>
      <c r="EB53" s="240"/>
      <c r="EC53" s="240"/>
      <c r="ED53" s="240"/>
      <c r="EE53" s="240"/>
      <c r="EF53" s="238"/>
      <c r="EG53" s="240"/>
      <c r="EH53" s="240"/>
      <c r="EI53" s="240"/>
      <c r="EJ53" s="238"/>
      <c r="EK53" s="240"/>
      <c r="EL53" s="238"/>
      <c r="EM53" s="240"/>
      <c r="EN53" s="240"/>
      <c r="EO53" s="240"/>
      <c r="EP53" s="240"/>
      <c r="EQ53" s="240"/>
      <c r="ER53" s="240"/>
      <c r="ES53" s="240"/>
      <c r="ET53" s="240"/>
      <c r="EU53" s="240"/>
      <c r="EV53" s="240"/>
      <c r="EW53" s="240"/>
      <c r="EX53" s="238"/>
      <c r="EY53" s="240"/>
      <c r="EZ53" s="240"/>
      <c r="FA53" s="240"/>
      <c r="FB53" s="240"/>
      <c r="FC53" s="240"/>
      <c r="FD53" s="240"/>
      <c r="FE53" s="240"/>
      <c r="FF53" s="240"/>
      <c r="FG53" s="240"/>
      <c r="FH53" s="240"/>
      <c r="FI53" s="240"/>
      <c r="FJ53" s="240"/>
      <c r="FK53" s="240"/>
      <c r="FL53" s="240"/>
      <c r="FM53" s="240"/>
      <c r="FN53" s="240"/>
      <c r="FO53" s="238"/>
      <c r="FP53" s="240"/>
      <c r="FQ53" s="240"/>
      <c r="FR53" s="240"/>
      <c r="FS53" s="240"/>
      <c r="FT53" s="240"/>
      <c r="FU53" s="240"/>
      <c r="FV53" s="240"/>
      <c r="FW53" s="240"/>
      <c r="FX53" s="240"/>
      <c r="FY53" s="240"/>
      <c r="FZ53" s="238"/>
      <c r="GA53" s="240"/>
      <c r="GB53" s="240"/>
      <c r="GC53" s="238"/>
      <c r="GD53" s="240"/>
      <c r="GE53" s="240"/>
      <c r="GF53" s="240"/>
      <c r="GG53" s="272"/>
      <c r="GH53" s="238"/>
      <c r="GI53" s="276"/>
      <c r="GJ53" s="276"/>
      <c r="GK53" s="240"/>
      <c r="GL53" s="240"/>
      <c r="GM53" s="238"/>
      <c r="GN53" s="240"/>
      <c r="GO53" s="240"/>
      <c r="GP53" s="240"/>
      <c r="GQ53" s="240"/>
      <c r="GR53" s="240"/>
      <c r="GS53" s="240"/>
      <c r="GT53" s="240"/>
      <c r="GU53" s="240"/>
      <c r="GV53" s="240"/>
      <c r="GW53" s="240"/>
      <c r="GX53" s="240"/>
      <c r="GY53" s="240" t="s">
        <v>890</v>
      </c>
      <c r="GZ53" s="240"/>
      <c r="HA53" s="240"/>
      <c r="HB53" s="240"/>
      <c r="HC53" s="240"/>
      <c r="HD53" s="238"/>
      <c r="HE53" s="240"/>
      <c r="HF53" s="240"/>
      <c r="HG53" s="240"/>
      <c r="HH53" s="240"/>
      <c r="HI53" s="240"/>
      <c r="HJ53" s="238"/>
      <c r="HK53" s="240"/>
      <c r="HL53" s="238"/>
      <c r="HM53" s="241"/>
      <c r="HN53" s="235"/>
      <c r="HO53" s="235"/>
      <c r="HP53" s="235"/>
      <c r="HQ53" s="235"/>
    </row>
    <row r="54" spans="2:225" ht="37.5" hidden="1" outlineLevel="2">
      <c r="B54" s="275"/>
      <c r="C54" s="258" t="s">
        <v>116</v>
      </c>
      <c r="D54" s="236" t="s">
        <v>3166</v>
      </c>
      <c r="E54" s="248"/>
      <c r="F54" s="253" t="str">
        <f>IF(E54='3. Dropdowns'!C91,"","Submittals, Products, Execution")</f>
        <v>Submittals, Products, Execution</v>
      </c>
      <c r="G54" s="268"/>
      <c r="H54" s="238"/>
      <c r="I54" s="239"/>
      <c r="J54" s="240"/>
      <c r="K54" s="240"/>
      <c r="L54" s="240"/>
      <c r="M54" s="240"/>
      <c r="N54" s="240"/>
      <c r="O54" s="240"/>
      <c r="P54" s="240"/>
      <c r="Q54" s="240"/>
      <c r="R54" s="240"/>
      <c r="S54" s="240"/>
      <c r="T54" s="240" t="s">
        <v>890</v>
      </c>
      <c r="U54" s="240"/>
      <c r="V54" s="240"/>
      <c r="W54" s="240"/>
      <c r="X54" s="238"/>
      <c r="Y54" s="240"/>
      <c r="Z54" s="240"/>
      <c r="AA54" s="240"/>
      <c r="AB54" s="240"/>
      <c r="AC54" s="240"/>
      <c r="AD54" s="240"/>
      <c r="AE54" s="240"/>
      <c r="AF54" s="240"/>
      <c r="AG54" s="240"/>
      <c r="AH54" s="238"/>
      <c r="AI54" s="240"/>
      <c r="AJ54" s="240"/>
      <c r="AK54" s="240"/>
      <c r="AL54" s="240"/>
      <c r="AM54" s="238"/>
      <c r="AN54" s="240"/>
      <c r="AO54" s="240"/>
      <c r="AP54" s="240"/>
      <c r="AQ54" s="238"/>
      <c r="AR54" s="240"/>
      <c r="AS54" s="240"/>
      <c r="AT54" s="240"/>
      <c r="AU54" s="240"/>
      <c r="AV54" s="240"/>
      <c r="AW54" s="240"/>
      <c r="AX54" s="240"/>
      <c r="AY54" s="240"/>
      <c r="AZ54" s="238"/>
      <c r="BA54" s="240"/>
      <c r="BB54" s="240"/>
      <c r="BC54" s="240"/>
      <c r="BD54" s="240"/>
      <c r="BE54" s="240"/>
      <c r="BF54" s="240"/>
      <c r="BG54" s="240"/>
      <c r="BH54" s="240"/>
      <c r="BI54" s="240"/>
      <c r="BJ54" s="240"/>
      <c r="BK54" s="240"/>
      <c r="BL54" s="240"/>
      <c r="BM54" s="240"/>
      <c r="BN54" s="240"/>
      <c r="BO54" s="240"/>
      <c r="BP54" s="238"/>
      <c r="BQ54" s="240"/>
      <c r="BR54" s="240"/>
      <c r="BS54" s="240"/>
      <c r="BT54" s="240"/>
      <c r="BU54" s="240"/>
      <c r="BV54" s="240"/>
      <c r="BW54" s="240"/>
      <c r="BX54" s="240"/>
      <c r="BY54" s="240"/>
      <c r="BZ54" s="240"/>
      <c r="CA54" s="240"/>
      <c r="CB54" s="240"/>
      <c r="CC54" s="240"/>
      <c r="CD54" s="240"/>
      <c r="CE54" s="240"/>
      <c r="CF54" s="238"/>
      <c r="CG54" s="240"/>
      <c r="CH54" s="240"/>
      <c r="CI54" s="240"/>
      <c r="CJ54" s="240"/>
      <c r="CK54" s="240"/>
      <c r="CL54" s="240"/>
      <c r="CM54" s="240"/>
      <c r="CN54" s="240"/>
      <c r="CO54" s="240"/>
      <c r="CP54" s="240"/>
      <c r="CQ54" s="240"/>
      <c r="CR54" s="240"/>
      <c r="CS54" s="238"/>
      <c r="CT54" s="240"/>
      <c r="CU54" s="240"/>
      <c r="CV54" s="240"/>
      <c r="CW54" s="240"/>
      <c r="CX54" s="240"/>
      <c r="CY54" s="240"/>
      <c r="CZ54" s="240"/>
      <c r="DA54" s="240"/>
      <c r="DB54" s="240"/>
      <c r="DC54" s="240"/>
      <c r="DD54" s="240"/>
      <c r="DE54" s="240"/>
      <c r="DF54" s="238"/>
      <c r="DG54" s="240"/>
      <c r="DH54" s="240"/>
      <c r="DI54" s="240"/>
      <c r="DJ54" s="240"/>
      <c r="DK54" s="240"/>
      <c r="DL54" s="240"/>
      <c r="DM54" s="240"/>
      <c r="DN54" s="240"/>
      <c r="DO54" s="240"/>
      <c r="DP54" s="240"/>
      <c r="DQ54" s="240"/>
      <c r="DR54" s="238"/>
      <c r="DS54" s="240"/>
      <c r="DT54" s="240"/>
      <c r="DU54" s="240"/>
      <c r="DV54" s="238"/>
      <c r="DW54" s="240"/>
      <c r="DX54" s="240"/>
      <c r="DY54" s="240"/>
      <c r="DZ54" s="240"/>
      <c r="EA54" s="240"/>
      <c r="EB54" s="240"/>
      <c r="EC54" s="240"/>
      <c r="ED54" s="240"/>
      <c r="EE54" s="240"/>
      <c r="EF54" s="238"/>
      <c r="EG54" s="240"/>
      <c r="EH54" s="240"/>
      <c r="EI54" s="240"/>
      <c r="EJ54" s="238"/>
      <c r="EK54" s="240"/>
      <c r="EL54" s="238"/>
      <c r="EM54" s="240"/>
      <c r="EN54" s="240"/>
      <c r="EO54" s="240"/>
      <c r="EP54" s="240"/>
      <c r="EQ54" s="240"/>
      <c r="ER54" s="240"/>
      <c r="ES54" s="240"/>
      <c r="ET54" s="240"/>
      <c r="EU54" s="240"/>
      <c r="EV54" s="240"/>
      <c r="EW54" s="240"/>
      <c r="EX54" s="238"/>
      <c r="EY54" s="240"/>
      <c r="EZ54" s="240"/>
      <c r="FA54" s="240"/>
      <c r="FB54" s="240"/>
      <c r="FC54" s="240"/>
      <c r="FD54" s="240"/>
      <c r="FE54" s="240"/>
      <c r="FF54" s="240"/>
      <c r="FG54" s="240"/>
      <c r="FH54" s="240"/>
      <c r="FI54" s="240"/>
      <c r="FJ54" s="240"/>
      <c r="FK54" s="240"/>
      <c r="FL54" s="240"/>
      <c r="FM54" s="240"/>
      <c r="FN54" s="240"/>
      <c r="FO54" s="238"/>
      <c r="FP54" s="240"/>
      <c r="FQ54" s="240"/>
      <c r="FR54" s="240"/>
      <c r="FS54" s="240"/>
      <c r="FT54" s="240"/>
      <c r="FU54" s="240"/>
      <c r="FV54" s="240"/>
      <c r="FW54" s="240"/>
      <c r="FX54" s="240"/>
      <c r="FY54" s="240"/>
      <c r="FZ54" s="238"/>
      <c r="GA54" s="240"/>
      <c r="GB54" s="240"/>
      <c r="GC54" s="238"/>
      <c r="GD54" s="240"/>
      <c r="GE54" s="240"/>
      <c r="GF54" s="240"/>
      <c r="GG54" s="272"/>
      <c r="GH54" s="238"/>
      <c r="GI54" s="276"/>
      <c r="GJ54" s="276"/>
      <c r="GK54" s="240"/>
      <c r="GL54" s="240"/>
      <c r="GM54" s="238"/>
      <c r="GN54" s="240"/>
      <c r="GO54" s="240"/>
      <c r="GP54" s="240"/>
      <c r="GQ54" s="240"/>
      <c r="GR54" s="240"/>
      <c r="GS54" s="240"/>
      <c r="GT54" s="240"/>
      <c r="GU54" s="240"/>
      <c r="GV54" s="240"/>
      <c r="GW54" s="240" t="s">
        <v>890</v>
      </c>
      <c r="GX54" s="240"/>
      <c r="GY54" s="240"/>
      <c r="GZ54" s="240"/>
      <c r="HA54" s="240"/>
      <c r="HB54" s="240"/>
      <c r="HC54" s="240"/>
      <c r="HD54" s="238"/>
      <c r="HE54" s="240"/>
      <c r="HF54" s="240"/>
      <c r="HG54" s="240"/>
      <c r="HH54" s="240"/>
      <c r="HI54" s="240"/>
      <c r="HJ54" s="238"/>
      <c r="HK54" s="240"/>
      <c r="HL54" s="238"/>
      <c r="HM54" s="241"/>
      <c r="HN54" s="235"/>
      <c r="HO54" s="235"/>
      <c r="HP54" s="235"/>
      <c r="HQ54" s="235"/>
    </row>
    <row r="55" spans="2:225" hidden="1" outlineLevel="1" collapsed="1">
      <c r="B55" s="275"/>
      <c r="C55" s="258" t="s">
        <v>116</v>
      </c>
      <c r="D55" s="220" t="s">
        <v>3167</v>
      </c>
      <c r="E55" s="222"/>
      <c r="F55" s="222"/>
      <c r="G55" s="222"/>
      <c r="H55" s="224"/>
      <c r="I55" s="224"/>
      <c r="J55" s="224"/>
      <c r="K55" s="224"/>
      <c r="L55" s="224"/>
      <c r="M55" s="224"/>
      <c r="N55" s="224"/>
      <c r="O55" s="224"/>
      <c r="P55" s="224"/>
      <c r="Q55" s="224"/>
      <c r="R55" s="224"/>
      <c r="S55" s="224"/>
      <c r="T55" s="224"/>
      <c r="U55" s="224"/>
      <c r="V55" s="224"/>
      <c r="W55" s="224"/>
      <c r="X55" s="224"/>
      <c r="Y55" s="224"/>
      <c r="Z55" s="224"/>
      <c r="AA55" s="224"/>
      <c r="AB55" s="224"/>
      <c r="AC55" s="224"/>
      <c r="AD55" s="224"/>
      <c r="AE55" s="224"/>
      <c r="AF55" s="224"/>
      <c r="AG55" s="224"/>
      <c r="AH55" s="224"/>
      <c r="AI55" s="224"/>
      <c r="AJ55" s="224"/>
      <c r="AK55" s="224"/>
      <c r="AL55" s="224"/>
      <c r="AM55" s="224"/>
      <c r="AN55" s="224"/>
      <c r="AO55" s="224"/>
      <c r="AP55" s="224"/>
      <c r="AQ55" s="224"/>
      <c r="AR55" s="224"/>
      <c r="AS55" s="224"/>
      <c r="AT55" s="224"/>
      <c r="AU55" s="224"/>
      <c r="AV55" s="224"/>
      <c r="AW55" s="224"/>
      <c r="AX55" s="224"/>
      <c r="AY55" s="224"/>
      <c r="AZ55" s="224"/>
      <c r="BA55" s="224"/>
      <c r="BB55" s="224"/>
      <c r="BC55" s="224"/>
      <c r="BD55" s="224"/>
      <c r="BE55" s="224"/>
      <c r="BF55" s="224"/>
      <c r="BG55" s="224"/>
      <c r="BH55" s="224"/>
      <c r="BI55" s="224"/>
      <c r="BJ55" s="224"/>
      <c r="BK55" s="224"/>
      <c r="BL55" s="224"/>
      <c r="BM55" s="224"/>
      <c r="BN55" s="224"/>
      <c r="BO55" s="224"/>
      <c r="BP55" s="224"/>
      <c r="BQ55" s="224"/>
      <c r="BR55" s="224"/>
      <c r="BS55" s="224"/>
      <c r="BT55" s="224"/>
      <c r="BU55" s="224"/>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c r="HC55" s="224"/>
      <c r="HD55" s="224"/>
      <c r="HE55" s="224"/>
      <c r="HF55" s="224"/>
      <c r="HG55" s="224"/>
      <c r="HH55" s="224"/>
      <c r="HI55" s="224"/>
      <c r="HJ55" s="224"/>
      <c r="HK55" s="224"/>
      <c r="HL55" s="224"/>
      <c r="HM55" s="265"/>
      <c r="HN55" s="235"/>
      <c r="HO55" s="235"/>
      <c r="HP55" s="235"/>
      <c r="HQ55" s="235"/>
    </row>
    <row r="56" spans="2:225" ht="37.5" hidden="1" outlineLevel="2">
      <c r="B56" s="275"/>
      <c r="C56" s="258" t="s">
        <v>116</v>
      </c>
      <c r="D56" s="236" t="s">
        <v>3168</v>
      </c>
      <c r="E56" s="248"/>
      <c r="F56" s="253" t="str">
        <f>IF(E56='3. Dropdowns'!C93,"","Submittals, Products, Execution")</f>
        <v>Submittals, Products, Execution</v>
      </c>
      <c r="G56" s="268"/>
      <c r="H56" s="238"/>
      <c r="I56" s="239"/>
      <c r="J56" s="240"/>
      <c r="K56" s="240"/>
      <c r="L56" s="240"/>
      <c r="M56" s="240"/>
      <c r="N56" s="240"/>
      <c r="O56" s="240"/>
      <c r="P56" s="240"/>
      <c r="Q56" s="240"/>
      <c r="R56" s="240"/>
      <c r="S56" s="240"/>
      <c r="T56" s="240" t="s">
        <v>890</v>
      </c>
      <c r="U56" s="240"/>
      <c r="V56" s="240"/>
      <c r="W56" s="240"/>
      <c r="X56" s="238"/>
      <c r="Y56" s="240"/>
      <c r="Z56" s="240"/>
      <c r="AA56" s="240"/>
      <c r="AB56" s="240"/>
      <c r="AC56" s="240"/>
      <c r="AD56" s="240"/>
      <c r="AE56" s="240"/>
      <c r="AF56" s="240"/>
      <c r="AG56" s="240"/>
      <c r="AH56" s="238"/>
      <c r="AI56" s="240"/>
      <c r="AJ56" s="240"/>
      <c r="AK56" s="240"/>
      <c r="AL56" s="240"/>
      <c r="AM56" s="238"/>
      <c r="AN56" s="240"/>
      <c r="AO56" s="240"/>
      <c r="AP56" s="240"/>
      <c r="AQ56" s="238"/>
      <c r="AR56" s="240"/>
      <c r="AS56" s="240"/>
      <c r="AT56" s="240"/>
      <c r="AU56" s="240"/>
      <c r="AV56" s="240"/>
      <c r="AW56" s="240"/>
      <c r="AX56" s="240"/>
      <c r="AY56" s="240"/>
      <c r="AZ56" s="238"/>
      <c r="BA56" s="240"/>
      <c r="BB56" s="240"/>
      <c r="BC56" s="240"/>
      <c r="BD56" s="240"/>
      <c r="BE56" s="240"/>
      <c r="BF56" s="240"/>
      <c r="BG56" s="240"/>
      <c r="BH56" s="240"/>
      <c r="BI56" s="240"/>
      <c r="BJ56" s="240"/>
      <c r="BK56" s="240"/>
      <c r="BL56" s="240"/>
      <c r="BM56" s="240"/>
      <c r="BN56" s="240"/>
      <c r="BO56" s="240"/>
      <c r="BP56" s="238"/>
      <c r="BQ56" s="240"/>
      <c r="BR56" s="240"/>
      <c r="BS56" s="240"/>
      <c r="BT56" s="240"/>
      <c r="BU56" s="240"/>
      <c r="BV56" s="240"/>
      <c r="BW56" s="240"/>
      <c r="BX56" s="240" t="s">
        <v>890</v>
      </c>
      <c r="BY56" s="240"/>
      <c r="BZ56" s="240"/>
      <c r="CA56" s="240" t="s">
        <v>890</v>
      </c>
      <c r="CB56" s="240"/>
      <c r="CC56" s="240"/>
      <c r="CD56" s="240" t="s">
        <v>890</v>
      </c>
      <c r="CE56" s="240"/>
      <c r="CF56" s="238"/>
      <c r="CG56" s="240"/>
      <c r="CH56" s="240"/>
      <c r="CI56" s="240"/>
      <c r="CJ56" s="240"/>
      <c r="CK56" s="240"/>
      <c r="CL56" s="240"/>
      <c r="CM56" s="240"/>
      <c r="CN56" s="240"/>
      <c r="CO56" s="240"/>
      <c r="CP56" s="240"/>
      <c r="CQ56" s="240"/>
      <c r="CR56" s="240"/>
      <c r="CS56" s="238"/>
      <c r="CT56" s="240"/>
      <c r="CU56" s="240"/>
      <c r="CV56" s="240"/>
      <c r="CW56" s="240"/>
      <c r="CX56" s="240"/>
      <c r="CY56" s="240"/>
      <c r="CZ56" s="240"/>
      <c r="DA56" s="240"/>
      <c r="DB56" s="240"/>
      <c r="DC56" s="240"/>
      <c r="DD56" s="240"/>
      <c r="DE56" s="240"/>
      <c r="DF56" s="238"/>
      <c r="DG56" s="240"/>
      <c r="DH56" s="240"/>
      <c r="DI56" s="240"/>
      <c r="DJ56" s="240"/>
      <c r="DK56" s="240"/>
      <c r="DL56" s="240"/>
      <c r="DM56" s="240"/>
      <c r="DN56" s="240"/>
      <c r="DO56" s="240"/>
      <c r="DP56" s="240"/>
      <c r="DQ56" s="240"/>
      <c r="DR56" s="238"/>
      <c r="DS56" s="240"/>
      <c r="DT56" s="240"/>
      <c r="DU56" s="240"/>
      <c r="DV56" s="238"/>
      <c r="DW56" s="240"/>
      <c r="DX56" s="240"/>
      <c r="DY56" s="240"/>
      <c r="DZ56" s="240"/>
      <c r="EA56" s="240"/>
      <c r="EB56" s="240"/>
      <c r="EC56" s="240"/>
      <c r="ED56" s="240"/>
      <c r="EE56" s="240"/>
      <c r="EF56" s="238"/>
      <c r="EG56" s="240"/>
      <c r="EH56" s="240"/>
      <c r="EI56" s="240"/>
      <c r="EJ56" s="238"/>
      <c r="EK56" s="240"/>
      <c r="EL56" s="238"/>
      <c r="EM56" s="240"/>
      <c r="EN56" s="240"/>
      <c r="EO56" s="240"/>
      <c r="EP56" s="240"/>
      <c r="EQ56" s="240"/>
      <c r="ER56" s="240"/>
      <c r="ES56" s="240"/>
      <c r="ET56" s="240"/>
      <c r="EU56" s="240"/>
      <c r="EV56" s="240"/>
      <c r="EW56" s="240"/>
      <c r="EX56" s="238"/>
      <c r="EY56" s="240"/>
      <c r="EZ56" s="240"/>
      <c r="FA56" s="240"/>
      <c r="FB56" s="240"/>
      <c r="FC56" s="240"/>
      <c r="FD56" s="240"/>
      <c r="FE56" s="240"/>
      <c r="FF56" s="240"/>
      <c r="FG56" s="240"/>
      <c r="FH56" s="240"/>
      <c r="FI56" s="240"/>
      <c r="FJ56" s="240"/>
      <c r="FK56" s="240"/>
      <c r="FL56" s="240"/>
      <c r="FM56" s="240"/>
      <c r="FN56" s="240"/>
      <c r="FO56" s="238"/>
      <c r="FP56" s="240"/>
      <c r="FQ56" s="240"/>
      <c r="FR56" s="240"/>
      <c r="FS56" s="240"/>
      <c r="FT56" s="240"/>
      <c r="FU56" s="240"/>
      <c r="FV56" s="240"/>
      <c r="FW56" s="240"/>
      <c r="FX56" s="240"/>
      <c r="FY56" s="240"/>
      <c r="FZ56" s="238"/>
      <c r="GA56" s="240"/>
      <c r="GB56" s="240"/>
      <c r="GC56" s="238"/>
      <c r="GD56" s="240"/>
      <c r="GE56" s="240"/>
      <c r="GF56" s="240"/>
      <c r="GG56" s="240"/>
      <c r="GH56" s="238"/>
      <c r="GI56" s="240"/>
      <c r="GJ56" s="240"/>
      <c r="GK56" s="240"/>
      <c r="GL56" s="240"/>
      <c r="GM56" s="238"/>
      <c r="GN56" s="240"/>
      <c r="GO56" s="240"/>
      <c r="GP56" s="240"/>
      <c r="GQ56" s="240"/>
      <c r="GR56" s="240"/>
      <c r="GS56" s="240"/>
      <c r="GT56" s="240"/>
      <c r="GU56" s="240"/>
      <c r="GV56" s="240"/>
      <c r="GW56" s="240"/>
      <c r="GX56" s="240"/>
      <c r="GY56" s="240"/>
      <c r="GZ56" s="240"/>
      <c r="HA56" s="240"/>
      <c r="HB56" s="240"/>
      <c r="HC56" s="240"/>
      <c r="HD56" s="238"/>
      <c r="HE56" s="240"/>
      <c r="HF56" s="240"/>
      <c r="HG56" s="240"/>
      <c r="HH56" s="240"/>
      <c r="HI56" s="240"/>
      <c r="HJ56" s="238"/>
      <c r="HK56" s="240"/>
      <c r="HL56" s="238"/>
      <c r="HM56" s="241"/>
      <c r="HN56" s="235"/>
      <c r="HO56" s="235"/>
      <c r="HP56" s="235"/>
      <c r="HQ56" s="235"/>
    </row>
    <row r="57" spans="2:225" hidden="1" outlineLevel="2">
      <c r="B57" s="275"/>
      <c r="C57" s="258" t="s">
        <v>116</v>
      </c>
      <c r="D57" s="236" t="s">
        <v>3169</v>
      </c>
      <c r="E57" s="248"/>
      <c r="F57" s="253" t="str">
        <f>IF(E57='3. Dropdowns'!C93,"","Submittals, Products, Execution")</f>
        <v>Submittals, Products, Execution</v>
      </c>
      <c r="G57" s="268"/>
      <c r="H57" s="238"/>
      <c r="I57" s="262" t="s">
        <v>890</v>
      </c>
      <c r="J57" s="263" t="s">
        <v>890</v>
      </c>
      <c r="K57" s="263" t="s">
        <v>890</v>
      </c>
      <c r="L57" s="263"/>
      <c r="M57" s="263"/>
      <c r="N57" s="263"/>
      <c r="O57" s="263"/>
      <c r="P57" s="263"/>
      <c r="Q57" s="263"/>
      <c r="R57" s="263"/>
      <c r="S57" s="263"/>
      <c r="T57" s="263" t="s">
        <v>890</v>
      </c>
      <c r="U57" s="263"/>
      <c r="V57" s="263"/>
      <c r="W57" s="263"/>
      <c r="X57" s="238"/>
      <c r="Y57" s="263"/>
      <c r="Z57" s="263"/>
      <c r="AA57" s="263"/>
      <c r="AB57" s="263"/>
      <c r="AC57" s="263"/>
      <c r="AD57" s="263"/>
      <c r="AE57" s="263"/>
      <c r="AF57" s="263"/>
      <c r="AG57" s="263"/>
      <c r="AH57" s="238"/>
      <c r="AI57" s="263"/>
      <c r="AJ57" s="263"/>
      <c r="AK57" s="263"/>
      <c r="AL57" s="263"/>
      <c r="AM57" s="238"/>
      <c r="AN57" s="263"/>
      <c r="AO57" s="263"/>
      <c r="AP57" s="263"/>
      <c r="AQ57" s="238"/>
      <c r="AR57" s="263"/>
      <c r="AS57" s="263"/>
      <c r="AT57" s="263"/>
      <c r="AU57" s="263"/>
      <c r="AV57" s="263"/>
      <c r="AW57" s="263"/>
      <c r="AX57" s="263"/>
      <c r="AY57" s="263"/>
      <c r="AZ57" s="238"/>
      <c r="BA57" s="263"/>
      <c r="BB57" s="263"/>
      <c r="BC57" s="263"/>
      <c r="BD57" s="263"/>
      <c r="BE57" s="263"/>
      <c r="BF57" s="263"/>
      <c r="BG57" s="263"/>
      <c r="BH57" s="263"/>
      <c r="BI57" s="263"/>
      <c r="BJ57" s="263"/>
      <c r="BK57" s="263"/>
      <c r="BL57" s="263"/>
      <c r="BM57" s="263"/>
      <c r="BN57" s="263"/>
      <c r="BO57" s="263"/>
      <c r="BP57" s="238"/>
      <c r="BQ57" s="263"/>
      <c r="BR57" s="263"/>
      <c r="BS57" s="263"/>
      <c r="BT57" s="263"/>
      <c r="BU57" s="263"/>
      <c r="BV57" s="263"/>
      <c r="BW57" s="263"/>
      <c r="BX57" s="263" t="s">
        <v>890</v>
      </c>
      <c r="BY57" s="263" t="s">
        <v>890</v>
      </c>
      <c r="BZ57" s="263"/>
      <c r="CA57" s="263" t="s">
        <v>890</v>
      </c>
      <c r="CB57" s="263" t="s">
        <v>890</v>
      </c>
      <c r="CC57" s="263"/>
      <c r="CD57" s="263"/>
      <c r="CE57" s="263"/>
      <c r="CF57" s="238"/>
      <c r="CG57" s="263"/>
      <c r="CH57" s="263"/>
      <c r="CI57" s="263"/>
      <c r="CJ57" s="263"/>
      <c r="CK57" s="263"/>
      <c r="CL57" s="263"/>
      <c r="CM57" s="263"/>
      <c r="CN57" s="263"/>
      <c r="CO57" s="263"/>
      <c r="CP57" s="263"/>
      <c r="CQ57" s="263"/>
      <c r="CR57" s="263"/>
      <c r="CS57" s="238"/>
      <c r="CT57" s="263"/>
      <c r="CU57" s="263"/>
      <c r="CV57" s="263"/>
      <c r="CW57" s="263"/>
      <c r="CX57" s="263"/>
      <c r="CY57" s="263"/>
      <c r="CZ57" s="263"/>
      <c r="DA57" s="263"/>
      <c r="DB57" s="263"/>
      <c r="DC57" s="263"/>
      <c r="DD57" s="263"/>
      <c r="DE57" s="263"/>
      <c r="DF57" s="238"/>
      <c r="DG57" s="263"/>
      <c r="DH57" s="263"/>
      <c r="DI57" s="263"/>
      <c r="DJ57" s="263"/>
      <c r="DK57" s="263"/>
      <c r="DL57" s="263"/>
      <c r="DM57" s="263"/>
      <c r="DN57" s="263"/>
      <c r="DO57" s="263"/>
      <c r="DP57" s="263"/>
      <c r="DQ57" s="263"/>
      <c r="DR57" s="238"/>
      <c r="DS57" s="263"/>
      <c r="DT57" s="263"/>
      <c r="DU57" s="263"/>
      <c r="DV57" s="238"/>
      <c r="DW57" s="263"/>
      <c r="DX57" s="263"/>
      <c r="DY57" s="263"/>
      <c r="DZ57" s="263"/>
      <c r="EA57" s="263"/>
      <c r="EB57" s="263"/>
      <c r="EC57" s="263"/>
      <c r="ED57" s="263"/>
      <c r="EE57" s="263"/>
      <c r="EF57" s="238"/>
      <c r="EG57" s="263"/>
      <c r="EH57" s="263"/>
      <c r="EI57" s="263"/>
      <c r="EJ57" s="238"/>
      <c r="EK57" s="263"/>
      <c r="EL57" s="238"/>
      <c r="EM57" s="263"/>
      <c r="EN57" s="263"/>
      <c r="EO57" s="263"/>
      <c r="EP57" s="263"/>
      <c r="EQ57" s="263"/>
      <c r="ER57" s="263"/>
      <c r="ES57" s="263"/>
      <c r="ET57" s="263"/>
      <c r="EU57" s="263"/>
      <c r="EV57" s="263"/>
      <c r="EW57" s="263"/>
      <c r="EX57" s="238"/>
      <c r="EY57" s="263"/>
      <c r="EZ57" s="263"/>
      <c r="FA57" s="263"/>
      <c r="FB57" s="263"/>
      <c r="FC57" s="263"/>
      <c r="FD57" s="263"/>
      <c r="FE57" s="263"/>
      <c r="FF57" s="263"/>
      <c r="FG57" s="263"/>
      <c r="FH57" s="263"/>
      <c r="FI57" s="263"/>
      <c r="FJ57" s="263"/>
      <c r="FK57" s="263"/>
      <c r="FL57" s="263"/>
      <c r="FM57" s="263"/>
      <c r="FN57" s="263"/>
      <c r="FO57" s="238"/>
      <c r="FP57" s="263"/>
      <c r="FQ57" s="263"/>
      <c r="FR57" s="263"/>
      <c r="FS57" s="263"/>
      <c r="FT57" s="263"/>
      <c r="FU57" s="263"/>
      <c r="FV57" s="263"/>
      <c r="FW57" s="263"/>
      <c r="FX57" s="263"/>
      <c r="FY57" s="263"/>
      <c r="FZ57" s="238"/>
      <c r="GA57" s="263"/>
      <c r="GB57" s="263"/>
      <c r="GC57" s="238"/>
      <c r="GD57" s="263"/>
      <c r="GE57" s="263"/>
      <c r="GF57" s="263"/>
      <c r="GG57" s="263"/>
      <c r="GH57" s="238"/>
      <c r="GI57" s="263"/>
      <c r="GJ57" s="263"/>
      <c r="GK57" s="263"/>
      <c r="GL57" s="263"/>
      <c r="GM57" s="238"/>
      <c r="GN57" s="263"/>
      <c r="GO57" s="263"/>
      <c r="GP57" s="263"/>
      <c r="GQ57" s="263"/>
      <c r="GR57" s="263"/>
      <c r="GS57" s="263"/>
      <c r="GT57" s="263"/>
      <c r="GU57" s="263"/>
      <c r="GV57" s="263"/>
      <c r="GW57" s="263"/>
      <c r="GX57" s="263"/>
      <c r="GY57" s="263"/>
      <c r="GZ57" s="263"/>
      <c r="HA57" s="263"/>
      <c r="HB57" s="263"/>
      <c r="HC57" s="263"/>
      <c r="HD57" s="238"/>
      <c r="HE57" s="263"/>
      <c r="HF57" s="263"/>
      <c r="HG57" s="263"/>
      <c r="HH57" s="263"/>
      <c r="HI57" s="263"/>
      <c r="HJ57" s="238"/>
      <c r="HK57" s="263"/>
      <c r="HL57" s="238"/>
      <c r="HM57" s="280"/>
      <c r="HN57" s="235"/>
      <c r="HO57" s="235"/>
      <c r="HP57" s="235"/>
      <c r="HQ57" s="235"/>
    </row>
    <row r="58" spans="2:225" hidden="1" outlineLevel="2">
      <c r="B58" s="275"/>
      <c r="C58" s="258" t="s">
        <v>116</v>
      </c>
      <c r="D58" s="236" t="s">
        <v>3170</v>
      </c>
      <c r="E58" s="248"/>
      <c r="F58" s="253" t="str">
        <f>IF(E58='3. Dropdowns'!C93,"","Submittals, Execution")</f>
        <v>Submittals, Execution</v>
      </c>
      <c r="G58" s="268"/>
      <c r="H58" s="238"/>
      <c r="I58" s="239"/>
      <c r="J58" s="240" t="s">
        <v>890</v>
      </c>
      <c r="K58" s="240"/>
      <c r="L58" s="240"/>
      <c r="M58" s="240"/>
      <c r="N58" s="240"/>
      <c r="O58" s="240"/>
      <c r="P58" s="240"/>
      <c r="Q58" s="240"/>
      <c r="R58" s="240"/>
      <c r="S58" s="240"/>
      <c r="T58" s="240" t="s">
        <v>890</v>
      </c>
      <c r="U58" s="240"/>
      <c r="V58" s="240"/>
      <c r="W58" s="240"/>
      <c r="X58" s="238"/>
      <c r="Y58" s="240"/>
      <c r="Z58" s="240"/>
      <c r="AA58" s="240"/>
      <c r="AB58" s="240"/>
      <c r="AC58" s="240"/>
      <c r="AD58" s="240"/>
      <c r="AE58" s="240"/>
      <c r="AF58" s="240"/>
      <c r="AG58" s="240"/>
      <c r="AH58" s="238"/>
      <c r="AI58" s="240"/>
      <c r="AJ58" s="240"/>
      <c r="AK58" s="240"/>
      <c r="AL58" s="240"/>
      <c r="AM58" s="238"/>
      <c r="AN58" s="240"/>
      <c r="AO58" s="240"/>
      <c r="AP58" s="240"/>
      <c r="AQ58" s="238"/>
      <c r="AR58" s="240"/>
      <c r="AS58" s="240"/>
      <c r="AT58" s="240"/>
      <c r="AU58" s="240"/>
      <c r="AV58" s="240"/>
      <c r="AW58" s="240"/>
      <c r="AX58" s="240"/>
      <c r="AY58" s="240"/>
      <c r="AZ58" s="238"/>
      <c r="BA58" s="240"/>
      <c r="BB58" s="240"/>
      <c r="BC58" s="240"/>
      <c r="BD58" s="240"/>
      <c r="BE58" s="240"/>
      <c r="BF58" s="240"/>
      <c r="BG58" s="240"/>
      <c r="BH58" s="240"/>
      <c r="BI58" s="240"/>
      <c r="BJ58" s="240"/>
      <c r="BK58" s="240"/>
      <c r="BL58" s="240"/>
      <c r="BM58" s="240"/>
      <c r="BN58" s="240"/>
      <c r="BO58" s="240"/>
      <c r="BP58" s="238"/>
      <c r="BQ58" s="240"/>
      <c r="BR58" s="240"/>
      <c r="BS58" s="240"/>
      <c r="BT58" s="240"/>
      <c r="BU58" s="240"/>
      <c r="BV58" s="240"/>
      <c r="BW58" s="240"/>
      <c r="BX58" s="240"/>
      <c r="BY58" s="240"/>
      <c r="BZ58" s="240"/>
      <c r="CA58" s="240"/>
      <c r="CB58" s="240"/>
      <c r="CC58" s="240"/>
      <c r="CD58" s="240"/>
      <c r="CE58" s="240"/>
      <c r="CF58" s="238"/>
      <c r="CG58" s="240"/>
      <c r="CH58" s="240"/>
      <c r="CI58" s="240"/>
      <c r="CJ58" s="240"/>
      <c r="CK58" s="240"/>
      <c r="CL58" s="240"/>
      <c r="CM58" s="240"/>
      <c r="CN58" s="240"/>
      <c r="CO58" s="240"/>
      <c r="CP58" s="240"/>
      <c r="CQ58" s="240"/>
      <c r="CR58" s="240"/>
      <c r="CS58" s="238"/>
      <c r="CT58" s="240"/>
      <c r="CU58" s="240"/>
      <c r="CV58" s="240"/>
      <c r="CW58" s="240"/>
      <c r="CX58" s="240"/>
      <c r="CY58" s="240"/>
      <c r="CZ58" s="240"/>
      <c r="DA58" s="240"/>
      <c r="DB58" s="240"/>
      <c r="DC58" s="240"/>
      <c r="DD58" s="240"/>
      <c r="DE58" s="240"/>
      <c r="DF58" s="238"/>
      <c r="DG58" s="240"/>
      <c r="DH58" s="240"/>
      <c r="DI58" s="240"/>
      <c r="DJ58" s="240"/>
      <c r="DK58" s="240"/>
      <c r="DL58" s="240"/>
      <c r="DM58" s="240"/>
      <c r="DN58" s="240"/>
      <c r="DO58" s="240"/>
      <c r="DP58" s="240"/>
      <c r="DQ58" s="240"/>
      <c r="DR58" s="238"/>
      <c r="DS58" s="240"/>
      <c r="DT58" s="240"/>
      <c r="DU58" s="240"/>
      <c r="DV58" s="238"/>
      <c r="DW58" s="240"/>
      <c r="DX58" s="240"/>
      <c r="DY58" s="240"/>
      <c r="DZ58" s="240"/>
      <c r="EA58" s="240"/>
      <c r="EB58" s="240"/>
      <c r="EC58" s="240"/>
      <c r="ED58" s="240"/>
      <c r="EE58" s="240"/>
      <c r="EF58" s="238"/>
      <c r="EG58" s="240"/>
      <c r="EH58" s="240"/>
      <c r="EI58" s="240"/>
      <c r="EJ58" s="238"/>
      <c r="EK58" s="240"/>
      <c r="EL58" s="238"/>
      <c r="EM58" s="240"/>
      <c r="EN58" s="240"/>
      <c r="EO58" s="240"/>
      <c r="EP58" s="240"/>
      <c r="EQ58" s="240"/>
      <c r="ER58" s="240"/>
      <c r="ES58" s="240"/>
      <c r="ET58" s="240"/>
      <c r="EU58" s="240"/>
      <c r="EV58" s="240"/>
      <c r="EW58" s="240"/>
      <c r="EX58" s="238"/>
      <c r="EY58" s="240"/>
      <c r="EZ58" s="240"/>
      <c r="FA58" s="240"/>
      <c r="FB58" s="240"/>
      <c r="FC58" s="240"/>
      <c r="FD58" s="240"/>
      <c r="FE58" s="240"/>
      <c r="FF58" s="240"/>
      <c r="FG58" s="240"/>
      <c r="FH58" s="240"/>
      <c r="FI58" s="240"/>
      <c r="FJ58" s="240"/>
      <c r="FK58" s="240"/>
      <c r="FL58" s="240"/>
      <c r="FM58" s="240"/>
      <c r="FN58" s="240"/>
      <c r="FO58" s="238"/>
      <c r="FP58" s="240"/>
      <c r="FQ58" s="240"/>
      <c r="FR58" s="240"/>
      <c r="FS58" s="240"/>
      <c r="FT58" s="240"/>
      <c r="FU58" s="240"/>
      <c r="FV58" s="240"/>
      <c r="FW58" s="240"/>
      <c r="FX58" s="240" t="s">
        <v>890</v>
      </c>
      <c r="FY58" s="240"/>
      <c r="FZ58" s="238"/>
      <c r="GA58" s="240"/>
      <c r="GB58" s="240"/>
      <c r="GC58" s="238"/>
      <c r="GD58" s="240"/>
      <c r="GE58" s="240"/>
      <c r="GF58" s="240"/>
      <c r="GG58" s="240"/>
      <c r="GH58" s="238"/>
      <c r="GI58" s="240"/>
      <c r="GJ58" s="240"/>
      <c r="GK58" s="240"/>
      <c r="GL58" s="263"/>
      <c r="GM58" s="238"/>
      <c r="GN58" s="240"/>
      <c r="GO58" s="240"/>
      <c r="GP58" s="240"/>
      <c r="GQ58" s="240"/>
      <c r="GR58" s="240"/>
      <c r="GS58" s="240"/>
      <c r="GT58" s="240"/>
      <c r="GU58" s="240"/>
      <c r="GV58" s="240"/>
      <c r="GW58" s="240"/>
      <c r="GX58" s="240"/>
      <c r="GY58" s="240"/>
      <c r="GZ58" s="240"/>
      <c r="HA58" s="240"/>
      <c r="HB58" s="240"/>
      <c r="HC58" s="240"/>
      <c r="HD58" s="238"/>
      <c r="HE58" s="240"/>
      <c r="HF58" s="240"/>
      <c r="HG58" s="240"/>
      <c r="HH58" s="240"/>
      <c r="HI58" s="240"/>
      <c r="HJ58" s="238"/>
      <c r="HK58" s="240"/>
      <c r="HL58" s="238"/>
      <c r="HM58" s="241"/>
      <c r="HN58" s="235"/>
      <c r="HO58" s="235"/>
      <c r="HP58" s="235"/>
      <c r="HQ58" s="235"/>
    </row>
    <row r="59" spans="2:225" ht="37.5" hidden="1" outlineLevel="2">
      <c r="B59" s="275"/>
      <c r="C59" s="258" t="s">
        <v>116</v>
      </c>
      <c r="D59" s="236" t="s">
        <v>3171</v>
      </c>
      <c r="E59" s="248"/>
      <c r="F59" s="253" t="str">
        <f>IF(E59='3. Dropdowns'!C95,"","Submittals, Products, Execution")</f>
        <v>Submittals, Products, Execution</v>
      </c>
      <c r="G59" s="268"/>
      <c r="H59" s="238"/>
      <c r="I59" s="239"/>
      <c r="J59" s="240"/>
      <c r="K59" s="240"/>
      <c r="L59" s="240"/>
      <c r="M59" s="240"/>
      <c r="N59" s="240"/>
      <c r="O59" s="240"/>
      <c r="P59" s="240"/>
      <c r="Q59" s="240"/>
      <c r="R59" s="240"/>
      <c r="S59" s="240"/>
      <c r="T59" s="240" t="s">
        <v>890</v>
      </c>
      <c r="U59" s="240"/>
      <c r="V59" s="240"/>
      <c r="W59" s="240"/>
      <c r="X59" s="238"/>
      <c r="Y59" s="240"/>
      <c r="Z59" s="240"/>
      <c r="AA59" s="240"/>
      <c r="AB59" s="240"/>
      <c r="AC59" s="240"/>
      <c r="AD59" s="240"/>
      <c r="AE59" s="240"/>
      <c r="AF59" s="240"/>
      <c r="AG59" s="240"/>
      <c r="AH59" s="238"/>
      <c r="AI59" s="240"/>
      <c r="AJ59" s="240"/>
      <c r="AK59" s="240"/>
      <c r="AL59" s="240"/>
      <c r="AM59" s="238"/>
      <c r="AN59" s="240"/>
      <c r="AO59" s="240"/>
      <c r="AP59" s="240"/>
      <c r="AQ59" s="238"/>
      <c r="AR59" s="240"/>
      <c r="AS59" s="240"/>
      <c r="AT59" s="240"/>
      <c r="AU59" s="240"/>
      <c r="AV59" s="240"/>
      <c r="AW59" s="240"/>
      <c r="AX59" s="240"/>
      <c r="AY59" s="240"/>
      <c r="AZ59" s="238"/>
      <c r="BA59" s="240"/>
      <c r="BB59" s="240"/>
      <c r="BC59" s="240"/>
      <c r="BD59" s="240"/>
      <c r="BE59" s="240"/>
      <c r="BF59" s="240"/>
      <c r="BG59" s="240"/>
      <c r="BH59" s="240"/>
      <c r="BI59" s="240"/>
      <c r="BJ59" s="240"/>
      <c r="BK59" s="240"/>
      <c r="BL59" s="240"/>
      <c r="BM59" s="240"/>
      <c r="BN59" s="240"/>
      <c r="BO59" s="240"/>
      <c r="BP59" s="238"/>
      <c r="BQ59" s="240"/>
      <c r="BR59" s="240"/>
      <c r="BS59" s="240"/>
      <c r="BT59" s="240"/>
      <c r="BU59" s="240"/>
      <c r="BV59" s="240"/>
      <c r="BW59" s="240"/>
      <c r="BX59" s="240"/>
      <c r="BY59" s="240"/>
      <c r="BZ59" s="240"/>
      <c r="CA59" s="240"/>
      <c r="CB59" s="240"/>
      <c r="CC59" s="240"/>
      <c r="CD59" s="240"/>
      <c r="CE59" s="240"/>
      <c r="CF59" s="238"/>
      <c r="CG59" s="240"/>
      <c r="CH59" s="240"/>
      <c r="CI59" s="240"/>
      <c r="CJ59" s="240"/>
      <c r="CK59" s="240"/>
      <c r="CL59" s="240"/>
      <c r="CM59" s="240"/>
      <c r="CN59" s="240"/>
      <c r="CO59" s="240"/>
      <c r="CP59" s="240"/>
      <c r="CQ59" s="240"/>
      <c r="CR59" s="240"/>
      <c r="CS59" s="238"/>
      <c r="CT59" s="240"/>
      <c r="CU59" s="240"/>
      <c r="CV59" s="240"/>
      <c r="CW59" s="240"/>
      <c r="CX59" s="240"/>
      <c r="CY59" s="240"/>
      <c r="CZ59" s="240"/>
      <c r="DA59" s="240"/>
      <c r="DB59" s="240"/>
      <c r="DC59" s="240"/>
      <c r="DD59" s="240"/>
      <c r="DE59" s="240"/>
      <c r="DF59" s="238"/>
      <c r="DG59" s="240"/>
      <c r="DH59" s="240"/>
      <c r="DI59" s="240"/>
      <c r="DJ59" s="240"/>
      <c r="DK59" s="240"/>
      <c r="DL59" s="240"/>
      <c r="DM59" s="240"/>
      <c r="DN59" s="240"/>
      <c r="DO59" s="240"/>
      <c r="DP59" s="240"/>
      <c r="DQ59" s="240"/>
      <c r="DR59" s="238"/>
      <c r="DS59" s="240"/>
      <c r="DT59" s="240"/>
      <c r="DU59" s="240"/>
      <c r="DV59" s="238"/>
      <c r="DW59" s="240"/>
      <c r="DX59" s="240"/>
      <c r="DY59" s="240"/>
      <c r="DZ59" s="240"/>
      <c r="EA59" s="240"/>
      <c r="EB59" s="240"/>
      <c r="EC59" s="240"/>
      <c r="ED59" s="240"/>
      <c r="EE59" s="240"/>
      <c r="EF59" s="238"/>
      <c r="EG59" s="240"/>
      <c r="EH59" s="240"/>
      <c r="EI59" s="240"/>
      <c r="EJ59" s="238"/>
      <c r="EK59" s="240"/>
      <c r="EL59" s="238"/>
      <c r="EM59" s="240"/>
      <c r="EN59" s="240"/>
      <c r="EO59" s="240"/>
      <c r="EP59" s="240"/>
      <c r="EQ59" s="240"/>
      <c r="ER59" s="240"/>
      <c r="ES59" s="240"/>
      <c r="ET59" s="240"/>
      <c r="EU59" s="240"/>
      <c r="EV59" s="240"/>
      <c r="EW59" s="240"/>
      <c r="EX59" s="238"/>
      <c r="EY59" s="240"/>
      <c r="EZ59" s="240"/>
      <c r="FA59" s="240"/>
      <c r="FB59" s="240"/>
      <c r="FC59" s="240"/>
      <c r="FD59" s="240"/>
      <c r="FE59" s="240"/>
      <c r="FF59" s="240"/>
      <c r="FG59" s="240"/>
      <c r="FH59" s="240"/>
      <c r="FI59" s="240"/>
      <c r="FJ59" s="240"/>
      <c r="FK59" s="240"/>
      <c r="FL59" s="240"/>
      <c r="FM59" s="240"/>
      <c r="FN59" s="240"/>
      <c r="FO59" s="238"/>
      <c r="FP59" s="240"/>
      <c r="FQ59" s="240"/>
      <c r="FR59" s="240"/>
      <c r="FS59" s="240"/>
      <c r="FT59" s="240"/>
      <c r="FU59" s="240"/>
      <c r="FV59" s="240"/>
      <c r="FW59" s="240"/>
      <c r="FX59" s="240"/>
      <c r="FY59" s="240"/>
      <c r="FZ59" s="238"/>
      <c r="GA59" s="240"/>
      <c r="GB59" s="240"/>
      <c r="GC59" s="238"/>
      <c r="GD59" s="240"/>
      <c r="GE59" s="240"/>
      <c r="GF59" s="240"/>
      <c r="GG59" s="240"/>
      <c r="GH59" s="238"/>
      <c r="GI59" s="240"/>
      <c r="GJ59" s="240"/>
      <c r="GK59" s="240"/>
      <c r="GL59" s="263"/>
      <c r="GM59" s="238"/>
      <c r="GN59" s="240"/>
      <c r="GO59" s="240"/>
      <c r="GP59" s="240"/>
      <c r="GQ59" s="240"/>
      <c r="GR59" s="240"/>
      <c r="GS59" s="240"/>
      <c r="GT59" s="240"/>
      <c r="GU59" s="240"/>
      <c r="GV59" s="240"/>
      <c r="GW59" s="240"/>
      <c r="GX59" s="240"/>
      <c r="GY59" s="240" t="s">
        <v>890</v>
      </c>
      <c r="GZ59" s="240"/>
      <c r="HA59" s="240"/>
      <c r="HB59" s="240"/>
      <c r="HC59" s="240"/>
      <c r="HD59" s="238"/>
      <c r="HE59" s="240"/>
      <c r="HF59" s="240"/>
      <c r="HG59" s="240"/>
      <c r="HH59" s="240"/>
      <c r="HI59" s="240"/>
      <c r="HJ59" s="238"/>
      <c r="HK59" s="240"/>
      <c r="HL59" s="238"/>
      <c r="HM59" s="241"/>
      <c r="HN59" s="235"/>
      <c r="HO59" s="235"/>
      <c r="HP59" s="235"/>
      <c r="HQ59" s="235"/>
    </row>
    <row r="60" spans="2:225" ht="37.5" hidden="1" outlineLevel="2">
      <c r="B60" s="275"/>
      <c r="C60" s="258" t="s">
        <v>116</v>
      </c>
      <c r="D60" s="236" t="s">
        <v>3172</v>
      </c>
      <c r="E60" s="248"/>
      <c r="F60" s="253" t="str">
        <f>IF(E60='3. Dropdowns'!C95,"","Submittals, Execution")</f>
        <v>Submittals, Execution</v>
      </c>
      <c r="G60" s="268"/>
      <c r="H60" s="238"/>
      <c r="I60" s="239"/>
      <c r="J60" s="240"/>
      <c r="K60" s="240"/>
      <c r="L60" s="240"/>
      <c r="M60" s="240"/>
      <c r="N60" s="240"/>
      <c r="O60" s="240"/>
      <c r="P60" s="240"/>
      <c r="Q60" s="240"/>
      <c r="R60" s="240"/>
      <c r="S60" s="240"/>
      <c r="T60" s="240" t="s">
        <v>890</v>
      </c>
      <c r="U60" s="240"/>
      <c r="V60" s="240"/>
      <c r="W60" s="240"/>
      <c r="X60" s="238"/>
      <c r="Y60" s="240"/>
      <c r="Z60" s="240"/>
      <c r="AA60" s="240"/>
      <c r="AB60" s="240"/>
      <c r="AC60" s="240"/>
      <c r="AD60" s="240"/>
      <c r="AE60" s="240"/>
      <c r="AF60" s="240"/>
      <c r="AG60" s="240"/>
      <c r="AH60" s="238"/>
      <c r="AI60" s="240"/>
      <c r="AJ60" s="240"/>
      <c r="AK60" s="240"/>
      <c r="AL60" s="240"/>
      <c r="AM60" s="238"/>
      <c r="AN60" s="240"/>
      <c r="AO60" s="240"/>
      <c r="AP60" s="240"/>
      <c r="AQ60" s="238"/>
      <c r="AR60" s="240"/>
      <c r="AS60" s="240"/>
      <c r="AT60" s="240"/>
      <c r="AU60" s="240"/>
      <c r="AV60" s="240"/>
      <c r="AW60" s="240"/>
      <c r="AX60" s="240"/>
      <c r="AY60" s="240"/>
      <c r="AZ60" s="238"/>
      <c r="BA60" s="240"/>
      <c r="BB60" s="240"/>
      <c r="BC60" s="240"/>
      <c r="BD60" s="240"/>
      <c r="BE60" s="240"/>
      <c r="BF60" s="240"/>
      <c r="BG60" s="240"/>
      <c r="BH60" s="240"/>
      <c r="BI60" s="240"/>
      <c r="BJ60" s="240"/>
      <c r="BK60" s="240"/>
      <c r="BL60" s="240"/>
      <c r="BM60" s="240"/>
      <c r="BN60" s="240"/>
      <c r="BO60" s="240"/>
      <c r="BP60" s="238"/>
      <c r="BQ60" s="240"/>
      <c r="BR60" s="240"/>
      <c r="BS60" s="240"/>
      <c r="BT60" s="240"/>
      <c r="BU60" s="240"/>
      <c r="BV60" s="240"/>
      <c r="BW60" s="240"/>
      <c r="BX60" s="240"/>
      <c r="BY60" s="240"/>
      <c r="BZ60" s="240"/>
      <c r="CA60" s="240"/>
      <c r="CB60" s="240"/>
      <c r="CC60" s="240"/>
      <c r="CD60" s="240"/>
      <c r="CE60" s="240"/>
      <c r="CF60" s="238"/>
      <c r="CG60" s="240"/>
      <c r="CH60" s="240"/>
      <c r="CI60" s="240"/>
      <c r="CJ60" s="240"/>
      <c r="CK60" s="240"/>
      <c r="CL60" s="240"/>
      <c r="CM60" s="240"/>
      <c r="CN60" s="240"/>
      <c r="CO60" s="240"/>
      <c r="CP60" s="240"/>
      <c r="CQ60" s="240"/>
      <c r="CR60" s="240"/>
      <c r="CS60" s="238"/>
      <c r="CT60" s="240"/>
      <c r="CU60" s="240"/>
      <c r="CV60" s="240"/>
      <c r="CW60" s="240"/>
      <c r="CX60" s="240"/>
      <c r="CY60" s="240"/>
      <c r="CZ60" s="240"/>
      <c r="DA60" s="240"/>
      <c r="DB60" s="240"/>
      <c r="DC60" s="240"/>
      <c r="DD60" s="240"/>
      <c r="DE60" s="240"/>
      <c r="DF60" s="238"/>
      <c r="DG60" s="240"/>
      <c r="DH60" s="240"/>
      <c r="DI60" s="240"/>
      <c r="DJ60" s="240"/>
      <c r="DK60" s="240"/>
      <c r="DL60" s="240"/>
      <c r="DM60" s="240"/>
      <c r="DN60" s="240"/>
      <c r="DO60" s="240"/>
      <c r="DP60" s="240"/>
      <c r="DQ60" s="240"/>
      <c r="DR60" s="238"/>
      <c r="DS60" s="240"/>
      <c r="DT60" s="240"/>
      <c r="DU60" s="240"/>
      <c r="DV60" s="238"/>
      <c r="DW60" s="240"/>
      <c r="DX60" s="240"/>
      <c r="DY60" s="240"/>
      <c r="DZ60" s="240"/>
      <c r="EA60" s="240"/>
      <c r="EB60" s="240"/>
      <c r="EC60" s="240"/>
      <c r="ED60" s="240"/>
      <c r="EE60" s="240"/>
      <c r="EF60" s="238"/>
      <c r="EG60" s="240"/>
      <c r="EH60" s="240"/>
      <c r="EI60" s="240"/>
      <c r="EJ60" s="238"/>
      <c r="EK60" s="240"/>
      <c r="EL60" s="238"/>
      <c r="EM60" s="240"/>
      <c r="EN60" s="240"/>
      <c r="EO60" s="240"/>
      <c r="EP60" s="240"/>
      <c r="EQ60" s="240"/>
      <c r="ER60" s="240"/>
      <c r="ES60" s="240"/>
      <c r="ET60" s="240"/>
      <c r="EU60" s="240"/>
      <c r="EV60" s="240"/>
      <c r="EW60" s="240"/>
      <c r="EX60" s="238"/>
      <c r="EY60" s="240"/>
      <c r="EZ60" s="240"/>
      <c r="FA60" s="240"/>
      <c r="FB60" s="240"/>
      <c r="FC60" s="240"/>
      <c r="FD60" s="240"/>
      <c r="FE60" s="240"/>
      <c r="FF60" s="240"/>
      <c r="FG60" s="240"/>
      <c r="FH60" s="240"/>
      <c r="FI60" s="240"/>
      <c r="FJ60" s="240"/>
      <c r="FK60" s="240"/>
      <c r="FL60" s="240"/>
      <c r="FM60" s="240"/>
      <c r="FN60" s="240"/>
      <c r="FO60" s="238"/>
      <c r="FP60" s="240"/>
      <c r="FQ60" s="240"/>
      <c r="FR60" s="240"/>
      <c r="FS60" s="240"/>
      <c r="FT60" s="240"/>
      <c r="FU60" s="240"/>
      <c r="FV60" s="240"/>
      <c r="FW60" s="240"/>
      <c r="FX60" s="240"/>
      <c r="FY60" s="240"/>
      <c r="FZ60" s="238"/>
      <c r="GA60" s="240"/>
      <c r="GB60" s="240"/>
      <c r="GC60" s="238"/>
      <c r="GD60" s="240"/>
      <c r="GE60" s="240"/>
      <c r="GF60" s="240"/>
      <c r="GG60" s="240"/>
      <c r="GH60" s="238"/>
      <c r="GI60" s="240"/>
      <c r="GJ60" s="240"/>
      <c r="GK60" s="240"/>
      <c r="GL60" s="263"/>
      <c r="GM60" s="238"/>
      <c r="GN60" s="240"/>
      <c r="GO60" s="240"/>
      <c r="GP60" s="240"/>
      <c r="GQ60" s="240"/>
      <c r="GR60" s="240"/>
      <c r="GS60" s="240"/>
      <c r="GT60" s="240"/>
      <c r="GU60" s="240"/>
      <c r="GV60" s="240"/>
      <c r="GW60" s="240"/>
      <c r="GX60" s="240"/>
      <c r="GY60" s="240"/>
      <c r="GZ60" s="240"/>
      <c r="HA60" s="240"/>
      <c r="HB60" s="240"/>
      <c r="HC60" s="240"/>
      <c r="HD60" s="238"/>
      <c r="HE60" s="240"/>
      <c r="HF60" s="240"/>
      <c r="HG60" s="240"/>
      <c r="HH60" s="240"/>
      <c r="HI60" s="240"/>
      <c r="HJ60" s="238"/>
      <c r="HK60" s="240"/>
      <c r="HL60" s="238"/>
      <c r="HM60" s="241"/>
      <c r="HN60" s="235"/>
      <c r="HO60" s="235"/>
      <c r="HP60" s="235"/>
      <c r="HQ60" s="235"/>
    </row>
    <row r="61" spans="2:225" hidden="1" outlineLevel="2">
      <c r="B61" s="275"/>
      <c r="C61" s="258" t="s">
        <v>116</v>
      </c>
      <c r="D61" s="236" t="s">
        <v>3173</v>
      </c>
      <c r="E61" s="248"/>
      <c r="F61" s="253" t="str">
        <f>IF(E61='3. Dropdowns'!C95,"","Submittals, Products, Execution")</f>
        <v>Submittals, Products, Execution</v>
      </c>
      <c r="G61" s="268"/>
      <c r="H61" s="238"/>
      <c r="I61" s="239"/>
      <c r="J61" s="240" t="s">
        <v>890</v>
      </c>
      <c r="K61" s="240" t="s">
        <v>890</v>
      </c>
      <c r="L61" s="240"/>
      <c r="M61" s="240"/>
      <c r="N61" s="240"/>
      <c r="O61" s="240"/>
      <c r="P61" s="240"/>
      <c r="Q61" s="240"/>
      <c r="R61" s="240"/>
      <c r="S61" s="240"/>
      <c r="T61" s="240" t="s">
        <v>890</v>
      </c>
      <c r="U61" s="240"/>
      <c r="V61" s="240"/>
      <c r="W61" s="240"/>
      <c r="X61" s="238"/>
      <c r="Y61" s="240"/>
      <c r="Z61" s="240"/>
      <c r="AA61" s="240"/>
      <c r="AB61" s="240"/>
      <c r="AC61" s="240"/>
      <c r="AD61" s="240"/>
      <c r="AE61" s="240"/>
      <c r="AF61" s="240"/>
      <c r="AG61" s="240"/>
      <c r="AH61" s="238"/>
      <c r="AI61" s="240"/>
      <c r="AJ61" s="240"/>
      <c r="AK61" s="240"/>
      <c r="AL61" s="240"/>
      <c r="AM61" s="238"/>
      <c r="AN61" s="240"/>
      <c r="AO61" s="240"/>
      <c r="AP61" s="240"/>
      <c r="AQ61" s="238"/>
      <c r="AR61" s="240"/>
      <c r="AS61" s="240"/>
      <c r="AT61" s="240"/>
      <c r="AU61" s="240"/>
      <c r="AV61" s="240"/>
      <c r="AW61" s="240"/>
      <c r="AX61" s="240"/>
      <c r="AY61" s="240"/>
      <c r="AZ61" s="238"/>
      <c r="BA61" s="240"/>
      <c r="BB61" s="240"/>
      <c r="BC61" s="240"/>
      <c r="BD61" s="240"/>
      <c r="BE61" s="240"/>
      <c r="BF61" s="240"/>
      <c r="BG61" s="240"/>
      <c r="BH61" s="240"/>
      <c r="BI61" s="240"/>
      <c r="BJ61" s="240"/>
      <c r="BK61" s="240"/>
      <c r="BL61" s="240"/>
      <c r="BM61" s="240"/>
      <c r="BN61" s="240"/>
      <c r="BO61" s="240"/>
      <c r="BP61" s="238"/>
      <c r="BQ61" s="240"/>
      <c r="BR61" s="240"/>
      <c r="BS61" s="240"/>
      <c r="BT61" s="240"/>
      <c r="BU61" s="240"/>
      <c r="BV61" s="240"/>
      <c r="BW61" s="240"/>
      <c r="BX61" s="240"/>
      <c r="BY61" s="240"/>
      <c r="BZ61" s="240"/>
      <c r="CA61" s="240"/>
      <c r="CB61" s="240"/>
      <c r="CC61" s="240"/>
      <c r="CD61" s="240"/>
      <c r="CE61" s="240"/>
      <c r="CF61" s="238"/>
      <c r="CG61" s="240"/>
      <c r="CH61" s="240"/>
      <c r="CI61" s="240"/>
      <c r="CJ61" s="240"/>
      <c r="CK61" s="240"/>
      <c r="CL61" s="240"/>
      <c r="CM61" s="240"/>
      <c r="CN61" s="240"/>
      <c r="CO61" s="240"/>
      <c r="CP61" s="240"/>
      <c r="CQ61" s="240"/>
      <c r="CR61" s="240"/>
      <c r="CS61" s="238"/>
      <c r="CT61" s="240"/>
      <c r="CU61" s="240"/>
      <c r="CV61" s="240"/>
      <c r="CW61" s="240"/>
      <c r="CX61" s="240"/>
      <c r="CY61" s="240"/>
      <c r="CZ61" s="240"/>
      <c r="DA61" s="240"/>
      <c r="DB61" s="240"/>
      <c r="DC61" s="240"/>
      <c r="DD61" s="240"/>
      <c r="DE61" s="240"/>
      <c r="DF61" s="238"/>
      <c r="DG61" s="240"/>
      <c r="DH61" s="240"/>
      <c r="DI61" s="240"/>
      <c r="DJ61" s="240"/>
      <c r="DK61" s="240"/>
      <c r="DL61" s="240"/>
      <c r="DM61" s="240"/>
      <c r="DN61" s="240"/>
      <c r="DO61" s="240"/>
      <c r="DP61" s="240"/>
      <c r="DQ61" s="240"/>
      <c r="DR61" s="238"/>
      <c r="DS61" s="240"/>
      <c r="DT61" s="240"/>
      <c r="DU61" s="240"/>
      <c r="DV61" s="238"/>
      <c r="DW61" s="240"/>
      <c r="DX61" s="240"/>
      <c r="DY61" s="240"/>
      <c r="DZ61" s="240"/>
      <c r="EA61" s="240"/>
      <c r="EB61" s="240"/>
      <c r="EC61" s="240"/>
      <c r="ED61" s="240"/>
      <c r="EE61" s="240"/>
      <c r="EF61" s="238"/>
      <c r="EG61" s="240"/>
      <c r="EH61" s="240"/>
      <c r="EI61" s="240"/>
      <c r="EJ61" s="238"/>
      <c r="EK61" s="240"/>
      <c r="EL61" s="238"/>
      <c r="EM61" s="240"/>
      <c r="EN61" s="240"/>
      <c r="EO61" s="240"/>
      <c r="EP61" s="240"/>
      <c r="EQ61" s="240"/>
      <c r="ER61" s="240"/>
      <c r="ES61" s="240"/>
      <c r="ET61" s="240"/>
      <c r="EU61" s="240"/>
      <c r="EV61" s="240"/>
      <c r="EW61" s="240"/>
      <c r="EX61" s="238"/>
      <c r="EY61" s="240"/>
      <c r="EZ61" s="240"/>
      <c r="FA61" s="240"/>
      <c r="FB61" s="240"/>
      <c r="FC61" s="240"/>
      <c r="FD61" s="240"/>
      <c r="FE61" s="240"/>
      <c r="FF61" s="240"/>
      <c r="FG61" s="240"/>
      <c r="FH61" s="240"/>
      <c r="FI61" s="240"/>
      <c r="FJ61" s="240"/>
      <c r="FK61" s="240"/>
      <c r="FL61" s="240"/>
      <c r="FM61" s="240"/>
      <c r="FN61" s="240"/>
      <c r="FO61" s="238"/>
      <c r="FP61" s="240"/>
      <c r="FQ61" s="240"/>
      <c r="FR61" s="240"/>
      <c r="FS61" s="240"/>
      <c r="FT61" s="240"/>
      <c r="FU61" s="240"/>
      <c r="FV61" s="240"/>
      <c r="FW61" s="240"/>
      <c r="FX61" s="240"/>
      <c r="FY61" s="240"/>
      <c r="FZ61" s="238"/>
      <c r="GA61" s="240"/>
      <c r="GB61" s="240"/>
      <c r="GC61" s="238"/>
      <c r="GD61" s="240"/>
      <c r="GE61" s="240"/>
      <c r="GF61" s="240"/>
      <c r="GG61" s="240"/>
      <c r="GH61" s="238"/>
      <c r="GI61" s="240"/>
      <c r="GJ61" s="240"/>
      <c r="GK61" s="240"/>
      <c r="GL61" s="263"/>
      <c r="GM61" s="238"/>
      <c r="GN61" s="240" t="s">
        <v>890</v>
      </c>
      <c r="GO61" s="240" t="s">
        <v>890</v>
      </c>
      <c r="GP61" s="240" t="s">
        <v>890</v>
      </c>
      <c r="GQ61" s="240"/>
      <c r="GR61" s="240" t="s">
        <v>890</v>
      </c>
      <c r="GS61" s="240"/>
      <c r="GT61" s="240"/>
      <c r="GU61" s="240"/>
      <c r="GV61" s="240"/>
      <c r="GW61" s="240"/>
      <c r="GX61" s="240"/>
      <c r="GY61" s="240"/>
      <c r="GZ61" s="240"/>
      <c r="HA61" s="240"/>
      <c r="HB61" s="240"/>
      <c r="HC61" s="240"/>
      <c r="HD61" s="238"/>
      <c r="HE61" s="240"/>
      <c r="HF61" s="240"/>
      <c r="HG61" s="240"/>
      <c r="HH61" s="240"/>
      <c r="HI61" s="240"/>
      <c r="HJ61" s="238"/>
      <c r="HK61" s="240"/>
      <c r="HL61" s="238"/>
      <c r="HM61" s="241"/>
      <c r="HN61" s="235"/>
      <c r="HO61" s="235"/>
      <c r="HP61" s="235"/>
      <c r="HQ61" s="235"/>
    </row>
    <row r="62" spans="2:225" ht="37.5" hidden="1" outlineLevel="2">
      <c r="B62" s="275"/>
      <c r="C62" s="258" t="s">
        <v>116</v>
      </c>
      <c r="D62" s="236" t="s">
        <v>3174</v>
      </c>
      <c r="E62" s="248"/>
      <c r="F62" s="253" t="str">
        <f>IF(E62='3. Dropdowns'!C95,"","Submittals, Products, Execution")</f>
        <v>Submittals, Products, Execution</v>
      </c>
      <c r="G62" s="281"/>
      <c r="H62" s="242"/>
      <c r="I62" s="262"/>
      <c r="J62" s="263"/>
      <c r="K62" s="263"/>
      <c r="L62" s="263"/>
      <c r="M62" s="263"/>
      <c r="N62" s="263"/>
      <c r="O62" s="263"/>
      <c r="P62" s="263"/>
      <c r="Q62" s="263"/>
      <c r="R62" s="263"/>
      <c r="S62" s="263"/>
      <c r="T62" s="263" t="s">
        <v>890</v>
      </c>
      <c r="U62" s="263"/>
      <c r="V62" s="263"/>
      <c r="W62" s="263"/>
      <c r="X62" s="242"/>
      <c r="Y62" s="263"/>
      <c r="Z62" s="263"/>
      <c r="AA62" s="263"/>
      <c r="AB62" s="263"/>
      <c r="AC62" s="263"/>
      <c r="AD62" s="263"/>
      <c r="AE62" s="263"/>
      <c r="AF62" s="263"/>
      <c r="AG62" s="263"/>
      <c r="AH62" s="242"/>
      <c r="AI62" s="263"/>
      <c r="AJ62" s="263"/>
      <c r="AK62" s="263"/>
      <c r="AL62" s="263"/>
      <c r="AM62" s="242"/>
      <c r="AN62" s="263"/>
      <c r="AO62" s="263"/>
      <c r="AP62" s="263"/>
      <c r="AQ62" s="242"/>
      <c r="AR62" s="263"/>
      <c r="AS62" s="263"/>
      <c r="AT62" s="263"/>
      <c r="AU62" s="263"/>
      <c r="AV62" s="263"/>
      <c r="AW62" s="263"/>
      <c r="AX62" s="263"/>
      <c r="AY62" s="263"/>
      <c r="AZ62" s="242"/>
      <c r="BA62" s="263"/>
      <c r="BB62" s="263"/>
      <c r="BC62" s="263"/>
      <c r="BD62" s="263"/>
      <c r="BE62" s="263"/>
      <c r="BF62" s="263"/>
      <c r="BG62" s="263"/>
      <c r="BH62" s="263"/>
      <c r="BI62" s="263"/>
      <c r="BJ62" s="263"/>
      <c r="BK62" s="263"/>
      <c r="BL62" s="263"/>
      <c r="BM62" s="263"/>
      <c r="BN62" s="263"/>
      <c r="BO62" s="263"/>
      <c r="BP62" s="242"/>
      <c r="BQ62" s="263"/>
      <c r="BR62" s="263"/>
      <c r="BS62" s="263"/>
      <c r="BT62" s="263"/>
      <c r="BU62" s="263"/>
      <c r="BV62" s="263"/>
      <c r="BW62" s="263"/>
      <c r="BX62" s="263"/>
      <c r="BY62" s="263"/>
      <c r="BZ62" s="263"/>
      <c r="CA62" s="263"/>
      <c r="CB62" s="263"/>
      <c r="CC62" s="263"/>
      <c r="CD62" s="263"/>
      <c r="CE62" s="263"/>
      <c r="CF62" s="242"/>
      <c r="CG62" s="263"/>
      <c r="CH62" s="263"/>
      <c r="CI62" s="263"/>
      <c r="CJ62" s="263"/>
      <c r="CK62" s="263"/>
      <c r="CL62" s="263"/>
      <c r="CM62" s="263"/>
      <c r="CN62" s="263"/>
      <c r="CO62" s="263"/>
      <c r="CP62" s="263"/>
      <c r="CQ62" s="263"/>
      <c r="CR62" s="263"/>
      <c r="CS62" s="242"/>
      <c r="CT62" s="263"/>
      <c r="CU62" s="263"/>
      <c r="CV62" s="263"/>
      <c r="CW62" s="263"/>
      <c r="CX62" s="263"/>
      <c r="CY62" s="263"/>
      <c r="CZ62" s="263"/>
      <c r="DA62" s="263"/>
      <c r="DB62" s="263"/>
      <c r="DC62" s="263"/>
      <c r="DD62" s="263"/>
      <c r="DE62" s="263"/>
      <c r="DF62" s="242"/>
      <c r="DG62" s="263"/>
      <c r="DH62" s="263"/>
      <c r="DI62" s="263"/>
      <c r="DJ62" s="263"/>
      <c r="DK62" s="263"/>
      <c r="DL62" s="263"/>
      <c r="DM62" s="263"/>
      <c r="DN62" s="263"/>
      <c r="DO62" s="263"/>
      <c r="DP62" s="263"/>
      <c r="DQ62" s="263"/>
      <c r="DR62" s="242"/>
      <c r="DS62" s="263"/>
      <c r="DT62" s="263"/>
      <c r="DU62" s="263"/>
      <c r="DV62" s="242"/>
      <c r="DW62" s="263"/>
      <c r="DX62" s="263"/>
      <c r="DY62" s="263"/>
      <c r="DZ62" s="263"/>
      <c r="EA62" s="263"/>
      <c r="EB62" s="263"/>
      <c r="EC62" s="263"/>
      <c r="ED62" s="263"/>
      <c r="EE62" s="263"/>
      <c r="EF62" s="242"/>
      <c r="EG62" s="263"/>
      <c r="EH62" s="263"/>
      <c r="EI62" s="263"/>
      <c r="EJ62" s="242"/>
      <c r="EK62" s="263"/>
      <c r="EL62" s="242"/>
      <c r="EM62" s="263"/>
      <c r="EN62" s="263"/>
      <c r="EO62" s="263"/>
      <c r="EP62" s="263"/>
      <c r="EQ62" s="263"/>
      <c r="ER62" s="263"/>
      <c r="ES62" s="263"/>
      <c r="ET62" s="263"/>
      <c r="EU62" s="263"/>
      <c r="EV62" s="263"/>
      <c r="EW62" s="263"/>
      <c r="EX62" s="242"/>
      <c r="EY62" s="263"/>
      <c r="EZ62" s="263"/>
      <c r="FA62" s="263"/>
      <c r="FB62" s="263"/>
      <c r="FC62" s="263"/>
      <c r="FD62" s="263"/>
      <c r="FE62" s="263"/>
      <c r="FF62" s="263"/>
      <c r="FG62" s="263"/>
      <c r="FH62" s="263"/>
      <c r="FI62" s="263"/>
      <c r="FJ62" s="263"/>
      <c r="FK62" s="263"/>
      <c r="FL62" s="263"/>
      <c r="FM62" s="263"/>
      <c r="FN62" s="263"/>
      <c r="FO62" s="242"/>
      <c r="FP62" s="263"/>
      <c r="FQ62" s="263"/>
      <c r="FR62" s="263"/>
      <c r="FS62" s="263"/>
      <c r="FT62" s="263"/>
      <c r="FU62" s="263"/>
      <c r="FV62" s="263"/>
      <c r="FW62" s="263"/>
      <c r="FX62" s="263"/>
      <c r="FY62" s="263"/>
      <c r="FZ62" s="242"/>
      <c r="GA62" s="263"/>
      <c r="GB62" s="263"/>
      <c r="GC62" s="242"/>
      <c r="GD62" s="263"/>
      <c r="GE62" s="263"/>
      <c r="GF62" s="263"/>
      <c r="GG62" s="263"/>
      <c r="GH62" s="242"/>
      <c r="GI62" s="263"/>
      <c r="GJ62" s="263"/>
      <c r="GK62" s="263"/>
      <c r="GL62" s="263"/>
      <c r="GM62" s="242"/>
      <c r="GN62" s="263"/>
      <c r="GO62" s="263"/>
      <c r="GP62" s="263" t="s">
        <v>890</v>
      </c>
      <c r="GQ62" s="263"/>
      <c r="GR62" s="263"/>
      <c r="GS62" s="263"/>
      <c r="GT62" s="263"/>
      <c r="GU62" s="263"/>
      <c r="GV62" s="263"/>
      <c r="GW62" s="263"/>
      <c r="GX62" s="263"/>
      <c r="GY62" s="263"/>
      <c r="GZ62" s="263"/>
      <c r="HA62" s="263"/>
      <c r="HB62" s="263"/>
      <c r="HC62" s="263"/>
      <c r="HD62" s="242"/>
      <c r="HE62" s="263"/>
      <c r="HF62" s="263"/>
      <c r="HG62" s="263"/>
      <c r="HH62" s="263"/>
      <c r="HI62" s="263"/>
      <c r="HJ62" s="242"/>
      <c r="HK62" s="263"/>
      <c r="HL62" s="242"/>
      <c r="HM62" s="241"/>
      <c r="HN62" s="235"/>
      <c r="HO62" s="235"/>
      <c r="HP62" s="235"/>
      <c r="HQ62" s="235"/>
    </row>
    <row r="63" spans="2:225" hidden="1" outlineLevel="1" collapsed="1">
      <c r="B63" s="275"/>
      <c r="C63" s="258" t="s">
        <v>116</v>
      </c>
      <c r="D63" s="282" t="s">
        <v>1076</v>
      </c>
      <c r="E63" s="222"/>
      <c r="F63" s="222"/>
      <c r="G63" s="222"/>
      <c r="H63" s="224"/>
      <c r="I63" s="224"/>
      <c r="J63" s="224"/>
      <c r="K63" s="224"/>
      <c r="L63" s="224"/>
      <c r="M63" s="224"/>
      <c r="N63" s="224"/>
      <c r="O63" s="224"/>
      <c r="P63" s="224"/>
      <c r="Q63" s="224"/>
      <c r="R63" s="224"/>
      <c r="S63" s="224"/>
      <c r="T63" s="224"/>
      <c r="U63" s="224"/>
      <c r="V63" s="224"/>
      <c r="W63" s="224"/>
      <c r="X63" s="224"/>
      <c r="Y63" s="224"/>
      <c r="Z63" s="224"/>
      <c r="AA63" s="224"/>
      <c r="AB63" s="224"/>
      <c r="AC63" s="224"/>
      <c r="AD63" s="224"/>
      <c r="AE63" s="224"/>
      <c r="AF63" s="224"/>
      <c r="AG63" s="224"/>
      <c r="AH63" s="224"/>
      <c r="AI63" s="224"/>
      <c r="AJ63" s="224"/>
      <c r="AK63" s="224"/>
      <c r="AL63" s="224"/>
      <c r="AM63" s="224"/>
      <c r="AN63" s="224"/>
      <c r="AO63" s="224"/>
      <c r="AP63" s="224"/>
      <c r="AQ63" s="224"/>
      <c r="AR63" s="224"/>
      <c r="AS63" s="224"/>
      <c r="AT63" s="224"/>
      <c r="AU63" s="224"/>
      <c r="AV63" s="224"/>
      <c r="AW63" s="224"/>
      <c r="AX63" s="224"/>
      <c r="AY63" s="224"/>
      <c r="AZ63" s="224"/>
      <c r="BA63" s="224"/>
      <c r="BB63" s="224"/>
      <c r="BC63" s="224"/>
      <c r="BD63" s="224"/>
      <c r="BE63" s="224"/>
      <c r="BF63" s="224"/>
      <c r="BG63" s="224"/>
      <c r="BH63" s="224"/>
      <c r="BI63" s="224"/>
      <c r="BJ63" s="224"/>
      <c r="BK63" s="224"/>
      <c r="BL63" s="224"/>
      <c r="BM63" s="224"/>
      <c r="BN63" s="224"/>
      <c r="BO63" s="224"/>
      <c r="BP63" s="224"/>
      <c r="BQ63" s="224"/>
      <c r="BR63" s="224"/>
      <c r="BS63" s="224"/>
      <c r="BT63" s="224"/>
      <c r="BU63" s="224"/>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c r="HC63" s="224"/>
      <c r="HD63" s="224"/>
      <c r="HE63" s="224"/>
      <c r="HF63" s="224"/>
      <c r="HG63" s="224"/>
      <c r="HH63" s="224"/>
      <c r="HI63" s="224"/>
      <c r="HJ63" s="224"/>
      <c r="HK63" s="224"/>
      <c r="HL63" s="224"/>
      <c r="HM63" s="265"/>
      <c r="HN63" s="235"/>
      <c r="HO63" s="235"/>
      <c r="HP63" s="235"/>
      <c r="HQ63" s="235"/>
    </row>
    <row r="64" spans="2:225" ht="37.5" hidden="1" outlineLevel="2">
      <c r="B64" s="251" t="s">
        <v>100</v>
      </c>
      <c r="C64" s="252" t="str">
        <f>IF(D7='3. Dropdowns'!C17,"Hide","Show")</f>
        <v>Show</v>
      </c>
      <c r="D64" s="236" t="s">
        <v>3175</v>
      </c>
      <c r="E64" s="248"/>
      <c r="F64" s="253" t="str">
        <f>IF(E64='3. Dropdowns'!C97,"","Submittals, Products, Execution")</f>
        <v>Submittals, Products, Execution</v>
      </c>
      <c r="G64" s="268"/>
      <c r="H64" s="231"/>
      <c r="I64" s="239" t="s">
        <v>890</v>
      </c>
      <c r="J64" s="240"/>
      <c r="K64" s="240"/>
      <c r="L64" s="240"/>
      <c r="M64" s="240"/>
      <c r="N64" s="240"/>
      <c r="O64" s="240"/>
      <c r="P64" s="240"/>
      <c r="Q64" s="240"/>
      <c r="R64" s="240"/>
      <c r="S64" s="240"/>
      <c r="T64" s="240" t="s">
        <v>890</v>
      </c>
      <c r="U64" s="240"/>
      <c r="V64" s="240"/>
      <c r="W64" s="240"/>
      <c r="X64" s="231"/>
      <c r="Y64" s="240"/>
      <c r="Z64" s="240"/>
      <c r="AA64" s="240"/>
      <c r="AB64" s="240"/>
      <c r="AC64" s="240"/>
      <c r="AD64" s="240"/>
      <c r="AE64" s="240"/>
      <c r="AF64" s="240"/>
      <c r="AG64" s="240"/>
      <c r="AH64" s="231"/>
      <c r="AI64" s="240"/>
      <c r="AJ64" s="240"/>
      <c r="AK64" s="240"/>
      <c r="AL64" s="240"/>
      <c r="AM64" s="231"/>
      <c r="AN64" s="240"/>
      <c r="AO64" s="240"/>
      <c r="AP64" s="240"/>
      <c r="AQ64" s="231"/>
      <c r="AR64" s="240"/>
      <c r="AS64" s="240"/>
      <c r="AT64" s="240"/>
      <c r="AU64" s="240"/>
      <c r="AV64" s="240"/>
      <c r="AW64" s="240"/>
      <c r="AX64" s="240"/>
      <c r="AY64" s="240"/>
      <c r="AZ64" s="231"/>
      <c r="BA64" s="240" t="s">
        <v>890</v>
      </c>
      <c r="BB64" s="240"/>
      <c r="BC64" s="240"/>
      <c r="BD64" s="240"/>
      <c r="BE64" s="240" t="s">
        <v>890</v>
      </c>
      <c r="BF64" s="240" t="s">
        <v>890</v>
      </c>
      <c r="BG64" s="240" t="s">
        <v>890</v>
      </c>
      <c r="BH64" s="240" t="s">
        <v>890</v>
      </c>
      <c r="BI64" s="240" t="s">
        <v>890</v>
      </c>
      <c r="BJ64" s="240"/>
      <c r="BK64" s="240"/>
      <c r="BL64" s="240"/>
      <c r="BM64" s="240"/>
      <c r="BN64" s="240"/>
      <c r="BO64" s="240"/>
      <c r="BP64" s="231" t="s">
        <v>890</v>
      </c>
      <c r="BQ64" s="240"/>
      <c r="BR64" s="240"/>
      <c r="BS64" s="240"/>
      <c r="BT64" s="240"/>
      <c r="BU64" s="240"/>
      <c r="BV64" s="240"/>
      <c r="BW64" s="240" t="s">
        <v>890</v>
      </c>
      <c r="BX64" s="240" t="s">
        <v>890</v>
      </c>
      <c r="BY64" s="240" t="s">
        <v>890</v>
      </c>
      <c r="BZ64" s="240"/>
      <c r="CA64" s="240"/>
      <c r="CB64" s="240" t="s">
        <v>890</v>
      </c>
      <c r="CC64" s="240" t="s">
        <v>890</v>
      </c>
      <c r="CD64" s="240"/>
      <c r="CE64" s="240"/>
      <c r="CF64" s="231"/>
      <c r="CG64" s="240" t="s">
        <v>890</v>
      </c>
      <c r="CH64" s="240" t="s">
        <v>890</v>
      </c>
      <c r="CI64" s="240" t="s">
        <v>890</v>
      </c>
      <c r="CJ64" s="240" t="s">
        <v>890</v>
      </c>
      <c r="CK64" s="240"/>
      <c r="CL64" s="240"/>
      <c r="CM64" s="240" t="s">
        <v>890</v>
      </c>
      <c r="CN64" s="240" t="s">
        <v>890</v>
      </c>
      <c r="CO64" s="240"/>
      <c r="CP64" s="240"/>
      <c r="CQ64" s="240" t="s">
        <v>890</v>
      </c>
      <c r="CR64" s="240" t="s">
        <v>890</v>
      </c>
      <c r="CS64" s="231"/>
      <c r="CT64" s="240"/>
      <c r="CU64" s="240"/>
      <c r="CV64" s="240"/>
      <c r="CW64" s="240"/>
      <c r="CX64" s="240"/>
      <c r="CY64" s="240"/>
      <c r="CZ64" s="240"/>
      <c r="DA64" s="240"/>
      <c r="DB64" s="240"/>
      <c r="DC64" s="240"/>
      <c r="DD64" s="240"/>
      <c r="DE64" s="240"/>
      <c r="DF64" s="231"/>
      <c r="DG64" s="240"/>
      <c r="DH64" s="240"/>
      <c r="DI64" s="240"/>
      <c r="DJ64" s="240"/>
      <c r="DK64" s="240"/>
      <c r="DL64" s="240"/>
      <c r="DM64" s="240"/>
      <c r="DN64" s="240"/>
      <c r="DO64" s="240"/>
      <c r="DP64" s="240"/>
      <c r="DQ64" s="240"/>
      <c r="DR64" s="231"/>
      <c r="DS64" s="240"/>
      <c r="DT64" s="240"/>
      <c r="DU64" s="240"/>
      <c r="DV64" s="231"/>
      <c r="DW64" s="240"/>
      <c r="DX64" s="240"/>
      <c r="DY64" s="240"/>
      <c r="DZ64" s="240"/>
      <c r="EA64" s="240"/>
      <c r="EB64" s="240"/>
      <c r="EC64" s="240"/>
      <c r="ED64" s="240"/>
      <c r="EE64" s="240"/>
      <c r="EF64" s="231"/>
      <c r="EG64" s="240"/>
      <c r="EH64" s="240"/>
      <c r="EI64" s="240"/>
      <c r="EJ64" s="231"/>
      <c r="EK64" s="240"/>
      <c r="EL64" s="231"/>
      <c r="EM64" s="240"/>
      <c r="EN64" s="240"/>
      <c r="EO64" s="240"/>
      <c r="EP64" s="240"/>
      <c r="EQ64" s="240"/>
      <c r="ER64" s="240"/>
      <c r="ES64" s="240"/>
      <c r="ET64" s="240"/>
      <c r="EU64" s="240"/>
      <c r="EV64" s="240"/>
      <c r="EW64" s="240"/>
      <c r="EX64" s="231"/>
      <c r="EY64" s="240"/>
      <c r="EZ64" s="240"/>
      <c r="FA64" s="240"/>
      <c r="FB64" s="240"/>
      <c r="FC64" s="240"/>
      <c r="FD64" s="240"/>
      <c r="FE64" s="240"/>
      <c r="FF64" s="240"/>
      <c r="FG64" s="240"/>
      <c r="FH64" s="240"/>
      <c r="FI64" s="240"/>
      <c r="FJ64" s="240"/>
      <c r="FK64" s="240"/>
      <c r="FL64" s="240"/>
      <c r="FM64" s="240"/>
      <c r="FN64" s="240"/>
      <c r="FO64" s="231"/>
      <c r="FP64" s="240"/>
      <c r="FQ64" s="240"/>
      <c r="FR64" s="240"/>
      <c r="FS64" s="240"/>
      <c r="FT64" s="240"/>
      <c r="FU64" s="240"/>
      <c r="FV64" s="240"/>
      <c r="FW64" s="240"/>
      <c r="FX64" s="240" t="s">
        <v>890</v>
      </c>
      <c r="FY64" s="240"/>
      <c r="FZ64" s="231"/>
      <c r="GA64" s="240"/>
      <c r="GB64" s="240"/>
      <c r="GC64" s="231"/>
      <c r="GD64" s="240"/>
      <c r="GE64" s="240"/>
      <c r="GF64" s="240"/>
      <c r="GG64" s="240"/>
      <c r="GH64" s="231"/>
      <c r="GI64" s="240"/>
      <c r="GJ64" s="240"/>
      <c r="GK64" s="240"/>
      <c r="GL64" s="240"/>
      <c r="GM64" s="231"/>
      <c r="GN64" s="240"/>
      <c r="GO64" s="240"/>
      <c r="GP64" s="240"/>
      <c r="GQ64" s="240"/>
      <c r="GR64" s="240"/>
      <c r="GS64" s="240"/>
      <c r="GT64" s="240"/>
      <c r="GU64" s="240"/>
      <c r="GV64" s="240"/>
      <c r="GW64" s="240"/>
      <c r="GX64" s="240"/>
      <c r="GY64" s="240"/>
      <c r="GZ64" s="240"/>
      <c r="HA64" s="240"/>
      <c r="HB64" s="240"/>
      <c r="HC64" s="240"/>
      <c r="HD64" s="231"/>
      <c r="HE64" s="240"/>
      <c r="HF64" s="240"/>
      <c r="HG64" s="240"/>
      <c r="HH64" s="240"/>
      <c r="HI64" s="240"/>
      <c r="HJ64" s="231"/>
      <c r="HK64" s="240"/>
      <c r="HL64" s="231"/>
      <c r="HM64" s="241"/>
      <c r="HN64" s="235"/>
      <c r="HO64" s="235"/>
      <c r="HP64" s="235"/>
      <c r="HQ64" s="235"/>
    </row>
    <row r="65" spans="2:225" ht="37.5" hidden="1" outlineLevel="2">
      <c r="B65" s="251" t="s">
        <v>101</v>
      </c>
      <c r="C65" s="252" t="str">
        <f>IF(OR(D7='3. Dropdowns'!C18,D7='3. Dropdowns'!C19,D7='3. Dropdowns'!C20),"Hide","Show")</f>
        <v>Show</v>
      </c>
      <c r="D65" s="236" t="s">
        <v>3176</v>
      </c>
      <c r="E65" s="248"/>
      <c r="F65" s="253" t="str">
        <f>IF(E65='3. Dropdowns'!C104,"","Submittals, Products, Execution")</f>
        <v>Submittals, Products, Execution</v>
      </c>
      <c r="G65" s="268"/>
      <c r="H65" s="238"/>
      <c r="I65" s="239" t="s">
        <v>890</v>
      </c>
      <c r="J65" s="240"/>
      <c r="K65" s="240"/>
      <c r="L65" s="240"/>
      <c r="M65" s="240"/>
      <c r="N65" s="240"/>
      <c r="O65" s="240"/>
      <c r="P65" s="240"/>
      <c r="Q65" s="240"/>
      <c r="R65" s="240"/>
      <c r="S65" s="240"/>
      <c r="T65" s="240" t="s">
        <v>890</v>
      </c>
      <c r="U65" s="240"/>
      <c r="V65" s="240"/>
      <c r="W65" s="240"/>
      <c r="X65" s="238"/>
      <c r="Y65" s="240"/>
      <c r="Z65" s="240"/>
      <c r="AA65" s="240"/>
      <c r="AB65" s="240"/>
      <c r="AC65" s="240"/>
      <c r="AD65" s="240"/>
      <c r="AE65" s="240"/>
      <c r="AF65" s="240"/>
      <c r="AG65" s="240"/>
      <c r="AH65" s="238"/>
      <c r="AI65" s="240"/>
      <c r="AJ65" s="240"/>
      <c r="AK65" s="240"/>
      <c r="AL65" s="240"/>
      <c r="AM65" s="238"/>
      <c r="AN65" s="240"/>
      <c r="AO65" s="240"/>
      <c r="AP65" s="240"/>
      <c r="AQ65" s="238"/>
      <c r="AR65" s="240"/>
      <c r="AS65" s="240"/>
      <c r="AT65" s="240"/>
      <c r="AU65" s="240"/>
      <c r="AV65" s="240"/>
      <c r="AW65" s="240"/>
      <c r="AX65" s="240"/>
      <c r="AY65" s="240"/>
      <c r="AZ65" s="238"/>
      <c r="BA65" s="240" t="s">
        <v>890</v>
      </c>
      <c r="BB65" s="240"/>
      <c r="BC65" s="240"/>
      <c r="BD65" s="240"/>
      <c r="BE65" s="240" t="s">
        <v>890</v>
      </c>
      <c r="BF65" s="240" t="s">
        <v>890</v>
      </c>
      <c r="BG65" s="240" t="s">
        <v>890</v>
      </c>
      <c r="BH65" s="240" t="s">
        <v>890</v>
      </c>
      <c r="BI65" s="240" t="s">
        <v>890</v>
      </c>
      <c r="BJ65" s="240"/>
      <c r="BK65" s="240"/>
      <c r="BL65" s="240"/>
      <c r="BM65" s="240"/>
      <c r="BN65" s="240"/>
      <c r="BO65" s="240"/>
      <c r="BP65" s="238" t="s">
        <v>890</v>
      </c>
      <c r="BQ65" s="240"/>
      <c r="BR65" s="240"/>
      <c r="BS65" s="240"/>
      <c r="BT65" s="240"/>
      <c r="BU65" s="240"/>
      <c r="BV65" s="240"/>
      <c r="BW65" s="240" t="s">
        <v>890</v>
      </c>
      <c r="BX65" s="240" t="s">
        <v>890</v>
      </c>
      <c r="BY65" s="240" t="s">
        <v>890</v>
      </c>
      <c r="BZ65" s="240" t="s">
        <v>890</v>
      </c>
      <c r="CA65" s="240"/>
      <c r="CB65" s="240" t="s">
        <v>890</v>
      </c>
      <c r="CC65" s="240" t="s">
        <v>890</v>
      </c>
      <c r="CD65" s="240"/>
      <c r="CE65" s="240"/>
      <c r="CF65" s="238"/>
      <c r="CG65" s="240" t="s">
        <v>890</v>
      </c>
      <c r="CH65" s="240" t="s">
        <v>890</v>
      </c>
      <c r="CI65" s="240" t="s">
        <v>890</v>
      </c>
      <c r="CJ65" s="240" t="s">
        <v>890</v>
      </c>
      <c r="CK65" s="240"/>
      <c r="CL65" s="240"/>
      <c r="CM65" s="240" t="s">
        <v>890</v>
      </c>
      <c r="CN65" s="240" t="s">
        <v>890</v>
      </c>
      <c r="CO65" s="240"/>
      <c r="CP65" s="240"/>
      <c r="CQ65" s="240" t="s">
        <v>890</v>
      </c>
      <c r="CR65" s="240" t="s">
        <v>890</v>
      </c>
      <c r="CS65" s="238"/>
      <c r="CT65" s="240"/>
      <c r="CU65" s="240"/>
      <c r="CV65" s="240"/>
      <c r="CW65" s="240"/>
      <c r="CX65" s="240"/>
      <c r="CY65" s="240"/>
      <c r="CZ65" s="240"/>
      <c r="DA65" s="240"/>
      <c r="DB65" s="240"/>
      <c r="DC65" s="240"/>
      <c r="DD65" s="240"/>
      <c r="DE65" s="240"/>
      <c r="DF65" s="238"/>
      <c r="DG65" s="240"/>
      <c r="DH65" s="240"/>
      <c r="DI65" s="240"/>
      <c r="DJ65" s="240"/>
      <c r="DK65" s="240"/>
      <c r="DL65" s="240"/>
      <c r="DM65" s="240"/>
      <c r="DN65" s="240"/>
      <c r="DO65" s="240"/>
      <c r="DP65" s="240"/>
      <c r="DQ65" s="240"/>
      <c r="DR65" s="238"/>
      <c r="DS65" s="240"/>
      <c r="DT65" s="240"/>
      <c r="DU65" s="240"/>
      <c r="DV65" s="238"/>
      <c r="DW65" s="240"/>
      <c r="DX65" s="240"/>
      <c r="DY65" s="240"/>
      <c r="DZ65" s="240"/>
      <c r="EA65" s="240"/>
      <c r="EB65" s="240"/>
      <c r="EC65" s="240"/>
      <c r="ED65" s="240"/>
      <c r="EE65" s="240"/>
      <c r="EF65" s="238"/>
      <c r="EG65" s="240"/>
      <c r="EH65" s="240"/>
      <c r="EI65" s="240"/>
      <c r="EJ65" s="238"/>
      <c r="EK65" s="240"/>
      <c r="EL65" s="238"/>
      <c r="EM65" s="240"/>
      <c r="EN65" s="240"/>
      <c r="EO65" s="240"/>
      <c r="EP65" s="240"/>
      <c r="EQ65" s="240"/>
      <c r="ER65" s="240"/>
      <c r="ES65" s="240"/>
      <c r="ET65" s="240"/>
      <c r="EU65" s="240"/>
      <c r="EV65" s="240"/>
      <c r="EW65" s="240"/>
      <c r="EX65" s="238"/>
      <c r="EY65" s="240"/>
      <c r="EZ65" s="240"/>
      <c r="FA65" s="240"/>
      <c r="FB65" s="240"/>
      <c r="FC65" s="240"/>
      <c r="FD65" s="240"/>
      <c r="FE65" s="240"/>
      <c r="FF65" s="240"/>
      <c r="FG65" s="240"/>
      <c r="FH65" s="240"/>
      <c r="FI65" s="240"/>
      <c r="FJ65" s="240"/>
      <c r="FK65" s="240"/>
      <c r="FL65" s="240"/>
      <c r="FM65" s="240"/>
      <c r="FN65" s="240"/>
      <c r="FO65" s="238"/>
      <c r="FP65" s="240"/>
      <c r="FQ65" s="240"/>
      <c r="FR65" s="240"/>
      <c r="FS65" s="240"/>
      <c r="FT65" s="240"/>
      <c r="FU65" s="240"/>
      <c r="FV65" s="240"/>
      <c r="FW65" s="240"/>
      <c r="FX65" s="240"/>
      <c r="FY65" s="240"/>
      <c r="FZ65" s="238"/>
      <c r="GA65" s="240"/>
      <c r="GB65" s="240"/>
      <c r="GC65" s="238"/>
      <c r="GD65" s="240"/>
      <c r="GE65" s="240"/>
      <c r="GF65" s="240"/>
      <c r="GG65" s="240"/>
      <c r="GH65" s="238"/>
      <c r="GI65" s="240"/>
      <c r="GJ65" s="240"/>
      <c r="GK65" s="240"/>
      <c r="GL65" s="240"/>
      <c r="GM65" s="238"/>
      <c r="GN65" s="240"/>
      <c r="GO65" s="240"/>
      <c r="GP65" s="240"/>
      <c r="GQ65" s="240"/>
      <c r="GR65" s="240"/>
      <c r="GS65" s="240"/>
      <c r="GT65" s="240"/>
      <c r="GU65" s="240"/>
      <c r="GV65" s="240"/>
      <c r="GW65" s="240"/>
      <c r="GX65" s="240"/>
      <c r="GY65" s="240"/>
      <c r="GZ65" s="240"/>
      <c r="HA65" s="240"/>
      <c r="HB65" s="240"/>
      <c r="HC65" s="240"/>
      <c r="HD65" s="238"/>
      <c r="HE65" s="240"/>
      <c r="HF65" s="240"/>
      <c r="HG65" s="240"/>
      <c r="HH65" s="240"/>
      <c r="HI65" s="240"/>
      <c r="HJ65" s="238"/>
      <c r="HK65" s="240"/>
      <c r="HL65" s="238"/>
      <c r="HM65" s="241"/>
      <c r="HN65" s="235"/>
      <c r="HO65" s="235"/>
      <c r="HP65" s="235"/>
      <c r="HQ65" s="235"/>
    </row>
    <row r="66" spans="2:225" hidden="1" outlineLevel="2">
      <c r="B66" s="275"/>
      <c r="C66" s="258" t="s">
        <v>116</v>
      </c>
      <c r="D66" s="236" t="s">
        <v>3177</v>
      </c>
      <c r="E66" s="248"/>
      <c r="F66" s="253" t="str">
        <f>IF(E66='3. Dropdowns'!C111,"","Submittals, Products, Execution")</f>
        <v>Submittals, Products, Execution</v>
      </c>
      <c r="G66" s="268"/>
      <c r="H66" s="238"/>
      <c r="I66" s="239" t="s">
        <v>890</v>
      </c>
      <c r="J66" s="240"/>
      <c r="K66" s="240"/>
      <c r="L66" s="240"/>
      <c r="M66" s="240"/>
      <c r="N66" s="240"/>
      <c r="O66" s="240"/>
      <c r="P66" s="240"/>
      <c r="Q66" s="240"/>
      <c r="R66" s="240"/>
      <c r="S66" s="240"/>
      <c r="T66" s="240" t="s">
        <v>890</v>
      </c>
      <c r="U66" s="240"/>
      <c r="V66" s="240"/>
      <c r="W66" s="240"/>
      <c r="X66" s="238"/>
      <c r="Y66" s="240"/>
      <c r="Z66" s="240"/>
      <c r="AA66" s="240"/>
      <c r="AB66" s="240"/>
      <c r="AC66" s="240"/>
      <c r="AD66" s="240"/>
      <c r="AE66" s="240"/>
      <c r="AF66" s="240"/>
      <c r="AG66" s="240"/>
      <c r="AH66" s="238"/>
      <c r="AI66" s="240" t="s">
        <v>890</v>
      </c>
      <c r="AJ66" s="240"/>
      <c r="AK66" s="240"/>
      <c r="AL66" s="240"/>
      <c r="AM66" s="238"/>
      <c r="AN66" s="240" t="s">
        <v>890</v>
      </c>
      <c r="AO66" s="240" t="s">
        <v>890</v>
      </c>
      <c r="AP66" s="240" t="s">
        <v>890</v>
      </c>
      <c r="AQ66" s="238"/>
      <c r="AR66" s="240"/>
      <c r="AS66" s="240"/>
      <c r="AT66" s="240"/>
      <c r="AU66" s="240"/>
      <c r="AV66" s="240"/>
      <c r="AW66" s="240"/>
      <c r="AX66" s="240"/>
      <c r="AY66" s="240"/>
      <c r="AZ66" s="238"/>
      <c r="BA66" s="240" t="s">
        <v>890</v>
      </c>
      <c r="BB66" s="240"/>
      <c r="BC66" s="240"/>
      <c r="BD66" s="240"/>
      <c r="BE66" s="240" t="s">
        <v>890</v>
      </c>
      <c r="BF66" s="240" t="s">
        <v>890</v>
      </c>
      <c r="BG66" s="240" t="s">
        <v>890</v>
      </c>
      <c r="BH66" s="240" t="s">
        <v>890</v>
      </c>
      <c r="BI66" s="240" t="s">
        <v>890</v>
      </c>
      <c r="BJ66" s="240" t="s">
        <v>890</v>
      </c>
      <c r="BK66" s="240"/>
      <c r="BL66" s="240"/>
      <c r="BM66" s="240"/>
      <c r="BN66" s="240"/>
      <c r="BO66" s="240"/>
      <c r="BP66" s="238"/>
      <c r="BQ66" s="240"/>
      <c r="BR66" s="240"/>
      <c r="BS66" s="240"/>
      <c r="BT66" s="240"/>
      <c r="BU66" s="240"/>
      <c r="BV66" s="240"/>
      <c r="BW66" s="240" t="s">
        <v>890</v>
      </c>
      <c r="BX66" s="240" t="s">
        <v>890</v>
      </c>
      <c r="BY66" s="240" t="s">
        <v>890</v>
      </c>
      <c r="BZ66" s="240" t="s">
        <v>890</v>
      </c>
      <c r="CA66" s="240" t="s">
        <v>890</v>
      </c>
      <c r="CB66" s="240" t="s">
        <v>890</v>
      </c>
      <c r="CC66" s="240" t="s">
        <v>890</v>
      </c>
      <c r="CD66" s="240"/>
      <c r="CE66" s="240"/>
      <c r="CF66" s="238"/>
      <c r="CG66" s="240" t="s">
        <v>890</v>
      </c>
      <c r="CH66" s="240" t="s">
        <v>890</v>
      </c>
      <c r="CI66" s="240" t="s">
        <v>890</v>
      </c>
      <c r="CJ66" s="240" t="s">
        <v>890</v>
      </c>
      <c r="CK66" s="240"/>
      <c r="CL66" s="240" t="s">
        <v>890</v>
      </c>
      <c r="CM66" s="240" t="s">
        <v>890</v>
      </c>
      <c r="CN66" s="240" t="s">
        <v>890</v>
      </c>
      <c r="CO66" s="240"/>
      <c r="CP66" s="240"/>
      <c r="CQ66" s="240" t="s">
        <v>890</v>
      </c>
      <c r="CR66" s="240"/>
      <c r="CS66" s="238"/>
      <c r="CT66" s="240"/>
      <c r="CU66" s="240"/>
      <c r="CV66" s="240"/>
      <c r="CW66" s="240"/>
      <c r="CX66" s="240"/>
      <c r="CY66" s="240"/>
      <c r="CZ66" s="240"/>
      <c r="DA66" s="240"/>
      <c r="DB66" s="240"/>
      <c r="DC66" s="240"/>
      <c r="DD66" s="240"/>
      <c r="DE66" s="240"/>
      <c r="DF66" s="238"/>
      <c r="DG66" s="240"/>
      <c r="DH66" s="240"/>
      <c r="DI66" s="240"/>
      <c r="DJ66" s="240"/>
      <c r="DK66" s="240"/>
      <c r="DL66" s="240" t="s">
        <v>890</v>
      </c>
      <c r="DM66" s="240" t="s">
        <v>890</v>
      </c>
      <c r="DN66" s="240"/>
      <c r="DO66" s="240"/>
      <c r="DP66" s="240"/>
      <c r="DQ66" s="240"/>
      <c r="DR66" s="238"/>
      <c r="DS66" s="240"/>
      <c r="DT66" s="240"/>
      <c r="DU66" s="240"/>
      <c r="DV66" s="238"/>
      <c r="DW66" s="240"/>
      <c r="DX66" s="240"/>
      <c r="DY66" s="240"/>
      <c r="DZ66" s="240"/>
      <c r="EA66" s="240"/>
      <c r="EB66" s="240"/>
      <c r="EC66" s="240"/>
      <c r="ED66" s="240"/>
      <c r="EE66" s="240"/>
      <c r="EF66" s="238"/>
      <c r="EG66" s="240"/>
      <c r="EH66" s="240"/>
      <c r="EI66" s="240"/>
      <c r="EJ66" s="238"/>
      <c r="EK66" s="240"/>
      <c r="EL66" s="238"/>
      <c r="EM66" s="240"/>
      <c r="EN66" s="240"/>
      <c r="EO66" s="240"/>
      <c r="EP66" s="240"/>
      <c r="EQ66" s="240"/>
      <c r="ER66" s="240"/>
      <c r="ES66" s="240"/>
      <c r="ET66" s="240"/>
      <c r="EU66" s="240"/>
      <c r="EV66" s="240"/>
      <c r="EW66" s="240"/>
      <c r="EX66" s="238"/>
      <c r="EY66" s="240"/>
      <c r="EZ66" s="240"/>
      <c r="FA66" s="240"/>
      <c r="FB66" s="240"/>
      <c r="FC66" s="240"/>
      <c r="FD66" s="240"/>
      <c r="FE66" s="240"/>
      <c r="FF66" s="240"/>
      <c r="FG66" s="240"/>
      <c r="FH66" s="240"/>
      <c r="FI66" s="240"/>
      <c r="FJ66" s="240"/>
      <c r="FK66" s="240" t="s">
        <v>890</v>
      </c>
      <c r="FL66" s="240"/>
      <c r="FM66" s="240"/>
      <c r="FN66" s="240"/>
      <c r="FO66" s="238"/>
      <c r="FP66" s="240"/>
      <c r="FQ66" s="240"/>
      <c r="FR66" s="240"/>
      <c r="FS66" s="240"/>
      <c r="FT66" s="240"/>
      <c r="FU66" s="240"/>
      <c r="FV66" s="240"/>
      <c r="FW66" s="240"/>
      <c r="FX66" s="240" t="s">
        <v>890</v>
      </c>
      <c r="FY66" s="240"/>
      <c r="FZ66" s="238"/>
      <c r="GA66" s="240"/>
      <c r="GB66" s="240"/>
      <c r="GC66" s="238"/>
      <c r="GD66" s="240"/>
      <c r="GE66" s="240"/>
      <c r="GF66" s="240"/>
      <c r="GG66" s="240"/>
      <c r="GH66" s="238"/>
      <c r="GI66" s="240"/>
      <c r="GJ66" s="240"/>
      <c r="GK66" s="240"/>
      <c r="GL66" s="240"/>
      <c r="GM66" s="238"/>
      <c r="GN66" s="240"/>
      <c r="GO66" s="240"/>
      <c r="GP66" s="240"/>
      <c r="GQ66" s="240"/>
      <c r="GR66" s="240"/>
      <c r="GS66" s="240"/>
      <c r="GT66" s="240"/>
      <c r="GU66" s="240"/>
      <c r="GV66" s="240"/>
      <c r="GW66" s="240"/>
      <c r="GX66" s="240"/>
      <c r="GY66" s="240"/>
      <c r="GZ66" s="240"/>
      <c r="HA66" s="240"/>
      <c r="HB66" s="240"/>
      <c r="HC66" s="240"/>
      <c r="HD66" s="238"/>
      <c r="HE66" s="240"/>
      <c r="HF66" s="240"/>
      <c r="HG66" s="240"/>
      <c r="HH66" s="240"/>
      <c r="HI66" s="240"/>
      <c r="HJ66" s="238"/>
      <c r="HK66" s="240"/>
      <c r="HL66" s="238"/>
      <c r="HM66" s="241"/>
      <c r="HN66" s="235"/>
      <c r="HO66" s="235"/>
      <c r="HP66" s="235"/>
      <c r="HQ66" s="235"/>
    </row>
    <row r="67" spans="2:225" ht="37.5" hidden="1" outlineLevel="2">
      <c r="B67" s="251" t="s">
        <v>713</v>
      </c>
      <c r="C67" s="252" t="str">
        <f>IF(E66='3. Dropdowns'!C111,"Hide","Show")</f>
        <v>Show</v>
      </c>
      <c r="D67" s="283" t="s">
        <v>3372</v>
      </c>
      <c r="E67" s="248"/>
      <c r="F67" s="253" t="str">
        <f>IF(E67='3. Dropdowns'!C113,"","Submittals, Products, Execution")</f>
        <v>Submittals, Products, Execution</v>
      </c>
      <c r="G67" s="268"/>
      <c r="H67" s="238"/>
      <c r="I67" s="239" t="s">
        <v>890</v>
      </c>
      <c r="J67" s="240"/>
      <c r="K67" s="240"/>
      <c r="L67" s="240"/>
      <c r="M67" s="240"/>
      <c r="N67" s="240"/>
      <c r="O67" s="240"/>
      <c r="P67" s="240"/>
      <c r="Q67" s="240"/>
      <c r="R67" s="240"/>
      <c r="S67" s="240"/>
      <c r="T67" s="240" t="s">
        <v>890</v>
      </c>
      <c r="U67" s="240"/>
      <c r="V67" s="240"/>
      <c r="W67" s="240"/>
      <c r="X67" s="238"/>
      <c r="Y67" s="240"/>
      <c r="Z67" s="240"/>
      <c r="AA67" s="240"/>
      <c r="AB67" s="240"/>
      <c r="AC67" s="240"/>
      <c r="AD67" s="240"/>
      <c r="AE67" s="240"/>
      <c r="AF67" s="240"/>
      <c r="AG67" s="240"/>
      <c r="AH67" s="238"/>
      <c r="AI67" s="240"/>
      <c r="AJ67" s="240"/>
      <c r="AK67" s="240"/>
      <c r="AL67" s="240"/>
      <c r="AM67" s="238"/>
      <c r="AN67" s="240"/>
      <c r="AO67" s="240"/>
      <c r="AP67" s="240"/>
      <c r="AQ67" s="238"/>
      <c r="AR67" s="240"/>
      <c r="AS67" s="240"/>
      <c r="AT67" s="240"/>
      <c r="AU67" s="240"/>
      <c r="AV67" s="240"/>
      <c r="AW67" s="240"/>
      <c r="AX67" s="240"/>
      <c r="AY67" s="240"/>
      <c r="AZ67" s="238"/>
      <c r="BA67" s="240"/>
      <c r="BB67" s="240"/>
      <c r="BC67" s="240"/>
      <c r="BD67" s="240"/>
      <c r="BE67" s="240"/>
      <c r="BF67" s="240"/>
      <c r="BG67" s="240"/>
      <c r="BH67" s="240"/>
      <c r="BI67" s="240"/>
      <c r="BJ67" s="240"/>
      <c r="BK67" s="240"/>
      <c r="BL67" s="240"/>
      <c r="BM67" s="240"/>
      <c r="BN67" s="240"/>
      <c r="BO67" s="240"/>
      <c r="BP67" s="238"/>
      <c r="BQ67" s="240"/>
      <c r="BR67" s="240"/>
      <c r="BS67" s="240"/>
      <c r="BT67" s="240"/>
      <c r="BU67" s="240"/>
      <c r="BV67" s="240"/>
      <c r="BW67" s="240"/>
      <c r="BX67" s="240"/>
      <c r="BY67" s="240"/>
      <c r="BZ67" s="240"/>
      <c r="CA67" s="240"/>
      <c r="CB67" s="240"/>
      <c r="CC67" s="240"/>
      <c r="CD67" s="240"/>
      <c r="CE67" s="240"/>
      <c r="CF67" s="238"/>
      <c r="CG67" s="240" t="s">
        <v>890</v>
      </c>
      <c r="CH67" s="240" t="s">
        <v>890</v>
      </c>
      <c r="CI67" s="240" t="s">
        <v>890</v>
      </c>
      <c r="CJ67" s="240" t="s">
        <v>890</v>
      </c>
      <c r="CK67" s="240"/>
      <c r="CL67" s="240" t="s">
        <v>890</v>
      </c>
      <c r="CM67" s="240" t="s">
        <v>890</v>
      </c>
      <c r="CN67" s="240" t="s">
        <v>890</v>
      </c>
      <c r="CO67" s="240"/>
      <c r="CP67" s="240"/>
      <c r="CQ67" s="240" t="s">
        <v>890</v>
      </c>
      <c r="CR67" s="240"/>
      <c r="CS67" s="238"/>
      <c r="CT67" s="240"/>
      <c r="CU67" s="240"/>
      <c r="CV67" s="240"/>
      <c r="CW67" s="240"/>
      <c r="CX67" s="240"/>
      <c r="CY67" s="240"/>
      <c r="CZ67" s="240"/>
      <c r="DA67" s="240"/>
      <c r="DB67" s="240"/>
      <c r="DC67" s="240"/>
      <c r="DD67" s="240"/>
      <c r="DE67" s="240"/>
      <c r="DF67" s="238"/>
      <c r="DG67" s="240"/>
      <c r="DH67" s="240"/>
      <c r="DI67" s="240"/>
      <c r="DJ67" s="240"/>
      <c r="DK67" s="240"/>
      <c r="DL67" s="240" t="s">
        <v>890</v>
      </c>
      <c r="DM67" s="240" t="s">
        <v>890</v>
      </c>
      <c r="DN67" s="240"/>
      <c r="DO67" s="240"/>
      <c r="DP67" s="240"/>
      <c r="DQ67" s="240"/>
      <c r="DR67" s="238"/>
      <c r="DS67" s="240"/>
      <c r="DT67" s="240"/>
      <c r="DU67" s="240"/>
      <c r="DV67" s="238"/>
      <c r="DW67" s="240"/>
      <c r="DX67" s="240"/>
      <c r="DY67" s="240"/>
      <c r="DZ67" s="240"/>
      <c r="EA67" s="240"/>
      <c r="EB67" s="240"/>
      <c r="EC67" s="240"/>
      <c r="ED67" s="240"/>
      <c r="EE67" s="240"/>
      <c r="EF67" s="238"/>
      <c r="EG67" s="240"/>
      <c r="EH67" s="240"/>
      <c r="EI67" s="240"/>
      <c r="EJ67" s="238"/>
      <c r="EK67" s="240"/>
      <c r="EL67" s="238"/>
      <c r="EM67" s="240"/>
      <c r="EN67" s="240"/>
      <c r="EO67" s="240"/>
      <c r="EP67" s="240"/>
      <c r="EQ67" s="240"/>
      <c r="ER67" s="240"/>
      <c r="ES67" s="240"/>
      <c r="ET67" s="240"/>
      <c r="EU67" s="240"/>
      <c r="EV67" s="240"/>
      <c r="EW67" s="240"/>
      <c r="EX67" s="238"/>
      <c r="EY67" s="240"/>
      <c r="EZ67" s="240"/>
      <c r="FA67" s="240"/>
      <c r="FB67" s="240"/>
      <c r="FC67" s="240"/>
      <c r="FD67" s="240"/>
      <c r="FE67" s="240"/>
      <c r="FF67" s="240"/>
      <c r="FG67" s="240"/>
      <c r="FH67" s="240"/>
      <c r="FI67" s="240"/>
      <c r="FJ67" s="240"/>
      <c r="FK67" s="240"/>
      <c r="FL67" s="240"/>
      <c r="FM67" s="240"/>
      <c r="FN67" s="240"/>
      <c r="FO67" s="238"/>
      <c r="FP67" s="240"/>
      <c r="FQ67" s="240"/>
      <c r="FR67" s="240"/>
      <c r="FS67" s="240"/>
      <c r="FT67" s="240"/>
      <c r="FU67" s="240"/>
      <c r="FV67" s="240"/>
      <c r="FW67" s="240"/>
      <c r="FX67" s="240"/>
      <c r="FY67" s="240"/>
      <c r="FZ67" s="238"/>
      <c r="GA67" s="240"/>
      <c r="GB67" s="240"/>
      <c r="GC67" s="238"/>
      <c r="GD67" s="240"/>
      <c r="GE67" s="240"/>
      <c r="GF67" s="240"/>
      <c r="GG67" s="240"/>
      <c r="GH67" s="238"/>
      <c r="GI67" s="240"/>
      <c r="GJ67" s="240"/>
      <c r="GK67" s="240"/>
      <c r="GL67" s="240"/>
      <c r="GM67" s="238"/>
      <c r="GN67" s="240"/>
      <c r="GO67" s="240"/>
      <c r="GP67" s="240"/>
      <c r="GQ67" s="240"/>
      <c r="GR67" s="240"/>
      <c r="GS67" s="240"/>
      <c r="GT67" s="240"/>
      <c r="GU67" s="240"/>
      <c r="GV67" s="240"/>
      <c r="GW67" s="240"/>
      <c r="GX67" s="240"/>
      <c r="GY67" s="240"/>
      <c r="GZ67" s="240"/>
      <c r="HA67" s="240"/>
      <c r="HB67" s="240"/>
      <c r="HC67" s="240"/>
      <c r="HD67" s="238"/>
      <c r="HE67" s="240"/>
      <c r="HF67" s="240"/>
      <c r="HG67" s="240"/>
      <c r="HH67" s="240"/>
      <c r="HI67" s="240"/>
      <c r="HJ67" s="238"/>
      <c r="HK67" s="240"/>
      <c r="HL67" s="238"/>
      <c r="HM67" s="241"/>
      <c r="HN67" s="235"/>
      <c r="HO67" s="235"/>
      <c r="HP67" s="235"/>
      <c r="HQ67" s="235"/>
    </row>
    <row r="68" spans="2:225" ht="37.5" hidden="1" outlineLevel="3">
      <c r="B68" s="251" t="s">
        <v>1756</v>
      </c>
      <c r="C68" s="252" t="str">
        <f>IF(E67='3. Dropdowns'!C113,"Hide",IF(E66='3. Dropdowns'!C111,"Hide","Show"))</f>
        <v>Show</v>
      </c>
      <c r="D68" s="283" t="s">
        <v>3178</v>
      </c>
      <c r="E68" s="248"/>
      <c r="F68" s="253" t="str">
        <f>IF(E68='3. Dropdowns'!C115,"","Submittals, Products, Execution")</f>
        <v>Submittals, Products, Execution</v>
      </c>
      <c r="G68" s="268"/>
      <c r="H68" s="238"/>
      <c r="I68" s="239" t="s">
        <v>890</v>
      </c>
      <c r="J68" s="240"/>
      <c r="K68" s="240"/>
      <c r="L68" s="240"/>
      <c r="M68" s="240"/>
      <c r="N68" s="240"/>
      <c r="O68" s="240"/>
      <c r="P68" s="240"/>
      <c r="Q68" s="240"/>
      <c r="R68" s="240"/>
      <c r="S68" s="240"/>
      <c r="T68" s="240" t="s">
        <v>890</v>
      </c>
      <c r="U68" s="240"/>
      <c r="V68" s="240"/>
      <c r="W68" s="240"/>
      <c r="X68" s="238"/>
      <c r="Y68" s="240"/>
      <c r="Z68" s="240"/>
      <c r="AA68" s="240"/>
      <c r="AB68" s="240"/>
      <c r="AC68" s="240"/>
      <c r="AD68" s="240"/>
      <c r="AE68" s="240"/>
      <c r="AF68" s="240"/>
      <c r="AG68" s="240"/>
      <c r="AH68" s="238"/>
      <c r="AI68" s="240"/>
      <c r="AJ68" s="240"/>
      <c r="AK68" s="240"/>
      <c r="AL68" s="240"/>
      <c r="AM68" s="238"/>
      <c r="AN68" s="240"/>
      <c r="AO68" s="240"/>
      <c r="AP68" s="240"/>
      <c r="AQ68" s="238"/>
      <c r="AR68" s="240"/>
      <c r="AS68" s="240"/>
      <c r="AT68" s="240"/>
      <c r="AU68" s="240"/>
      <c r="AV68" s="240"/>
      <c r="AW68" s="240"/>
      <c r="AX68" s="240"/>
      <c r="AY68" s="240"/>
      <c r="AZ68" s="238"/>
      <c r="BA68" s="240"/>
      <c r="BB68" s="240"/>
      <c r="BC68" s="240"/>
      <c r="BD68" s="240"/>
      <c r="BE68" s="240"/>
      <c r="BF68" s="240"/>
      <c r="BG68" s="240"/>
      <c r="BH68" s="240"/>
      <c r="BI68" s="240"/>
      <c r="BJ68" s="240"/>
      <c r="BK68" s="240"/>
      <c r="BL68" s="240"/>
      <c r="BM68" s="240"/>
      <c r="BN68" s="240"/>
      <c r="BO68" s="240"/>
      <c r="BP68" s="238"/>
      <c r="BQ68" s="240"/>
      <c r="BR68" s="240"/>
      <c r="BS68" s="240"/>
      <c r="BT68" s="240"/>
      <c r="BU68" s="240"/>
      <c r="BV68" s="240"/>
      <c r="BW68" s="240"/>
      <c r="BX68" s="240"/>
      <c r="BY68" s="240"/>
      <c r="BZ68" s="240"/>
      <c r="CA68" s="240"/>
      <c r="CB68" s="240"/>
      <c r="CC68" s="240"/>
      <c r="CD68" s="240"/>
      <c r="CE68" s="240"/>
      <c r="CF68" s="238"/>
      <c r="CG68" s="240"/>
      <c r="CH68" s="240"/>
      <c r="CI68" s="240"/>
      <c r="CJ68" s="240"/>
      <c r="CK68" s="240"/>
      <c r="CL68" s="240"/>
      <c r="CM68" s="240"/>
      <c r="CN68" s="240"/>
      <c r="CO68" s="240"/>
      <c r="CP68" s="240"/>
      <c r="CQ68" s="240"/>
      <c r="CR68" s="240"/>
      <c r="CS68" s="238"/>
      <c r="CT68" s="240"/>
      <c r="CU68" s="240"/>
      <c r="CV68" s="240"/>
      <c r="CW68" s="240"/>
      <c r="CX68" s="240"/>
      <c r="CY68" s="240"/>
      <c r="CZ68" s="240"/>
      <c r="DA68" s="240"/>
      <c r="DB68" s="240"/>
      <c r="DC68" s="240"/>
      <c r="DD68" s="240"/>
      <c r="DE68" s="240"/>
      <c r="DF68" s="238"/>
      <c r="DG68" s="240"/>
      <c r="DH68" s="240"/>
      <c r="DI68" s="240"/>
      <c r="DJ68" s="240"/>
      <c r="DK68" s="240"/>
      <c r="DL68" s="240" t="s">
        <v>890</v>
      </c>
      <c r="DM68" s="240" t="s">
        <v>890</v>
      </c>
      <c r="DN68" s="240"/>
      <c r="DO68" s="240"/>
      <c r="DP68" s="240"/>
      <c r="DQ68" s="240"/>
      <c r="DR68" s="238"/>
      <c r="DS68" s="240"/>
      <c r="DT68" s="240"/>
      <c r="DU68" s="240"/>
      <c r="DV68" s="238"/>
      <c r="DW68" s="240"/>
      <c r="DX68" s="240"/>
      <c r="DY68" s="240"/>
      <c r="DZ68" s="240"/>
      <c r="EA68" s="240"/>
      <c r="EB68" s="240"/>
      <c r="EC68" s="240"/>
      <c r="ED68" s="240"/>
      <c r="EE68" s="240"/>
      <c r="EF68" s="238"/>
      <c r="EG68" s="240"/>
      <c r="EH68" s="240"/>
      <c r="EI68" s="240"/>
      <c r="EJ68" s="238"/>
      <c r="EK68" s="240"/>
      <c r="EL68" s="238"/>
      <c r="EM68" s="240"/>
      <c r="EN68" s="240"/>
      <c r="EO68" s="240"/>
      <c r="EP68" s="240"/>
      <c r="EQ68" s="240"/>
      <c r="ER68" s="240"/>
      <c r="ES68" s="240"/>
      <c r="ET68" s="240"/>
      <c r="EU68" s="240"/>
      <c r="EV68" s="240"/>
      <c r="EW68" s="240"/>
      <c r="EX68" s="238"/>
      <c r="EY68" s="240"/>
      <c r="EZ68" s="240"/>
      <c r="FA68" s="240"/>
      <c r="FB68" s="240"/>
      <c r="FC68" s="240"/>
      <c r="FD68" s="240"/>
      <c r="FE68" s="240"/>
      <c r="FF68" s="240"/>
      <c r="FG68" s="240"/>
      <c r="FH68" s="240"/>
      <c r="FI68" s="240"/>
      <c r="FJ68" s="240"/>
      <c r="FK68" s="240"/>
      <c r="FL68" s="240"/>
      <c r="FM68" s="240"/>
      <c r="FN68" s="240"/>
      <c r="FO68" s="238"/>
      <c r="FP68" s="240"/>
      <c r="FQ68" s="240"/>
      <c r="FR68" s="240"/>
      <c r="FS68" s="240"/>
      <c r="FT68" s="240"/>
      <c r="FU68" s="240"/>
      <c r="FV68" s="240"/>
      <c r="FW68" s="240"/>
      <c r="FX68" s="240"/>
      <c r="FY68" s="240"/>
      <c r="FZ68" s="238"/>
      <c r="GA68" s="240"/>
      <c r="GB68" s="240"/>
      <c r="GC68" s="238"/>
      <c r="GD68" s="240"/>
      <c r="GE68" s="240"/>
      <c r="GF68" s="240"/>
      <c r="GG68" s="240"/>
      <c r="GH68" s="238"/>
      <c r="GI68" s="240"/>
      <c r="GJ68" s="240"/>
      <c r="GK68" s="240"/>
      <c r="GL68" s="240"/>
      <c r="GM68" s="238"/>
      <c r="GN68" s="240"/>
      <c r="GO68" s="240"/>
      <c r="GP68" s="240"/>
      <c r="GQ68" s="240"/>
      <c r="GR68" s="240"/>
      <c r="GS68" s="240"/>
      <c r="GT68" s="240"/>
      <c r="GU68" s="240"/>
      <c r="GV68" s="240"/>
      <c r="GW68" s="240"/>
      <c r="GX68" s="240"/>
      <c r="GY68" s="240"/>
      <c r="GZ68" s="240"/>
      <c r="HA68" s="240"/>
      <c r="HB68" s="240"/>
      <c r="HC68" s="240"/>
      <c r="HD68" s="238"/>
      <c r="HE68" s="240"/>
      <c r="HF68" s="240"/>
      <c r="HG68" s="240"/>
      <c r="HH68" s="240"/>
      <c r="HI68" s="240"/>
      <c r="HJ68" s="238"/>
      <c r="HK68" s="240"/>
      <c r="HL68" s="238"/>
      <c r="HM68" s="241"/>
      <c r="HN68" s="235"/>
      <c r="HO68" s="235"/>
      <c r="HP68" s="235"/>
      <c r="HQ68" s="235"/>
    </row>
    <row r="69" spans="2:225" ht="37.5" hidden="1" outlineLevel="3">
      <c r="B69" s="251" t="s">
        <v>1756</v>
      </c>
      <c r="C69" s="252" t="str">
        <f>IF(E67='3. Dropdowns'!C113,"Hide",IF(E66='3. Dropdowns'!C111,"Hide","Show"))</f>
        <v>Show</v>
      </c>
      <c r="D69" s="283" t="s">
        <v>3179</v>
      </c>
      <c r="E69" s="248"/>
      <c r="F69" s="253" t="str">
        <f>IF(E69='3. Dropdowns'!C115,"","Products")</f>
        <v>Products</v>
      </c>
      <c r="G69" s="268"/>
      <c r="H69" s="238"/>
      <c r="I69" s="239" t="s">
        <v>890</v>
      </c>
      <c r="J69" s="240"/>
      <c r="K69" s="240"/>
      <c r="L69" s="240"/>
      <c r="M69" s="240"/>
      <c r="N69" s="240"/>
      <c r="O69" s="240"/>
      <c r="P69" s="240"/>
      <c r="Q69" s="240"/>
      <c r="R69" s="240"/>
      <c r="S69" s="240"/>
      <c r="T69" s="240" t="s">
        <v>890</v>
      </c>
      <c r="U69" s="240"/>
      <c r="V69" s="240"/>
      <c r="W69" s="240"/>
      <c r="X69" s="238"/>
      <c r="Y69" s="240"/>
      <c r="Z69" s="240"/>
      <c r="AA69" s="240"/>
      <c r="AB69" s="240"/>
      <c r="AC69" s="240"/>
      <c r="AD69" s="240"/>
      <c r="AE69" s="240"/>
      <c r="AF69" s="240"/>
      <c r="AG69" s="240"/>
      <c r="AH69" s="238"/>
      <c r="AI69" s="240"/>
      <c r="AJ69" s="240"/>
      <c r="AK69" s="240"/>
      <c r="AL69" s="240"/>
      <c r="AM69" s="238"/>
      <c r="AN69" s="240"/>
      <c r="AO69" s="240"/>
      <c r="AP69" s="240"/>
      <c r="AQ69" s="238"/>
      <c r="AR69" s="240"/>
      <c r="AS69" s="240"/>
      <c r="AT69" s="240"/>
      <c r="AU69" s="240"/>
      <c r="AV69" s="240"/>
      <c r="AW69" s="240"/>
      <c r="AX69" s="240"/>
      <c r="AY69" s="240"/>
      <c r="AZ69" s="238"/>
      <c r="BA69" s="240"/>
      <c r="BB69" s="240"/>
      <c r="BC69" s="240"/>
      <c r="BD69" s="240"/>
      <c r="BE69" s="240"/>
      <c r="BF69" s="240"/>
      <c r="BG69" s="240"/>
      <c r="BH69" s="240"/>
      <c r="BI69" s="240"/>
      <c r="BJ69" s="240"/>
      <c r="BK69" s="240"/>
      <c r="BL69" s="240"/>
      <c r="BM69" s="240"/>
      <c r="BN69" s="240"/>
      <c r="BO69" s="240"/>
      <c r="BP69" s="238"/>
      <c r="BQ69" s="240"/>
      <c r="BR69" s="240"/>
      <c r="BS69" s="240"/>
      <c r="BT69" s="240"/>
      <c r="BU69" s="240"/>
      <c r="BV69" s="240"/>
      <c r="BW69" s="240"/>
      <c r="BX69" s="240"/>
      <c r="BY69" s="240"/>
      <c r="BZ69" s="240"/>
      <c r="CA69" s="240"/>
      <c r="CB69" s="240"/>
      <c r="CC69" s="240"/>
      <c r="CD69" s="240"/>
      <c r="CE69" s="240"/>
      <c r="CF69" s="238"/>
      <c r="CG69" s="240"/>
      <c r="CH69" s="240"/>
      <c r="CI69" s="240"/>
      <c r="CJ69" s="240"/>
      <c r="CK69" s="240"/>
      <c r="CL69" s="240"/>
      <c r="CM69" s="240" t="s">
        <v>890</v>
      </c>
      <c r="CN69" s="240" t="s">
        <v>890</v>
      </c>
      <c r="CO69" s="240"/>
      <c r="CP69" s="240"/>
      <c r="CQ69" s="240"/>
      <c r="CR69" s="240"/>
      <c r="CS69" s="238"/>
      <c r="CT69" s="240"/>
      <c r="CU69" s="240"/>
      <c r="CV69" s="240"/>
      <c r="CW69" s="240"/>
      <c r="CX69" s="240"/>
      <c r="CY69" s="240"/>
      <c r="CZ69" s="240"/>
      <c r="DA69" s="240"/>
      <c r="DB69" s="240"/>
      <c r="DC69" s="240"/>
      <c r="DD69" s="240"/>
      <c r="DE69" s="240"/>
      <c r="DF69" s="238"/>
      <c r="DG69" s="240"/>
      <c r="DH69" s="240"/>
      <c r="DI69" s="240"/>
      <c r="DJ69" s="240"/>
      <c r="DK69" s="240"/>
      <c r="DL69" s="240"/>
      <c r="DM69" s="240"/>
      <c r="DN69" s="240"/>
      <c r="DO69" s="240"/>
      <c r="DP69" s="240"/>
      <c r="DQ69" s="240"/>
      <c r="DR69" s="238"/>
      <c r="DS69" s="240"/>
      <c r="DT69" s="240"/>
      <c r="DU69" s="240"/>
      <c r="DV69" s="238"/>
      <c r="DW69" s="240"/>
      <c r="DX69" s="240"/>
      <c r="DY69" s="240"/>
      <c r="DZ69" s="240"/>
      <c r="EA69" s="240"/>
      <c r="EB69" s="240"/>
      <c r="EC69" s="240"/>
      <c r="ED69" s="240"/>
      <c r="EE69" s="240"/>
      <c r="EF69" s="238"/>
      <c r="EG69" s="240"/>
      <c r="EH69" s="240"/>
      <c r="EI69" s="240"/>
      <c r="EJ69" s="238"/>
      <c r="EK69" s="240"/>
      <c r="EL69" s="238"/>
      <c r="EM69" s="240"/>
      <c r="EN69" s="240"/>
      <c r="EO69" s="240"/>
      <c r="EP69" s="240"/>
      <c r="EQ69" s="240"/>
      <c r="ER69" s="240"/>
      <c r="ES69" s="240"/>
      <c r="ET69" s="240"/>
      <c r="EU69" s="240"/>
      <c r="EV69" s="240"/>
      <c r="EW69" s="240"/>
      <c r="EX69" s="238"/>
      <c r="EY69" s="240"/>
      <c r="EZ69" s="240"/>
      <c r="FA69" s="240"/>
      <c r="FB69" s="240"/>
      <c r="FC69" s="240"/>
      <c r="FD69" s="240"/>
      <c r="FE69" s="240"/>
      <c r="FF69" s="240"/>
      <c r="FG69" s="240"/>
      <c r="FH69" s="240"/>
      <c r="FI69" s="240"/>
      <c r="FJ69" s="240"/>
      <c r="FK69" s="240"/>
      <c r="FL69" s="240"/>
      <c r="FM69" s="240"/>
      <c r="FN69" s="240"/>
      <c r="FO69" s="238"/>
      <c r="FP69" s="240"/>
      <c r="FQ69" s="240"/>
      <c r="FR69" s="240"/>
      <c r="FS69" s="240"/>
      <c r="FT69" s="240"/>
      <c r="FU69" s="240"/>
      <c r="FV69" s="240"/>
      <c r="FW69" s="240"/>
      <c r="FX69" s="240"/>
      <c r="FY69" s="240"/>
      <c r="FZ69" s="238"/>
      <c r="GA69" s="240"/>
      <c r="GB69" s="240"/>
      <c r="GC69" s="238"/>
      <c r="GD69" s="240"/>
      <c r="GE69" s="240"/>
      <c r="GF69" s="240"/>
      <c r="GG69" s="240"/>
      <c r="GH69" s="238"/>
      <c r="GI69" s="240"/>
      <c r="GJ69" s="240"/>
      <c r="GK69" s="240"/>
      <c r="GL69" s="240"/>
      <c r="GM69" s="238"/>
      <c r="GN69" s="240"/>
      <c r="GO69" s="240"/>
      <c r="GP69" s="240"/>
      <c r="GQ69" s="240"/>
      <c r="GR69" s="240"/>
      <c r="GS69" s="240"/>
      <c r="GT69" s="240"/>
      <c r="GU69" s="240"/>
      <c r="GV69" s="240"/>
      <c r="GW69" s="240"/>
      <c r="GX69" s="240"/>
      <c r="GY69" s="240"/>
      <c r="GZ69" s="240"/>
      <c r="HA69" s="240"/>
      <c r="HB69" s="240"/>
      <c r="HC69" s="240"/>
      <c r="HD69" s="238"/>
      <c r="HE69" s="240"/>
      <c r="HF69" s="240"/>
      <c r="HG69" s="240"/>
      <c r="HH69" s="240"/>
      <c r="HI69" s="240"/>
      <c r="HJ69" s="238"/>
      <c r="HK69" s="240"/>
      <c r="HL69" s="238"/>
      <c r="HM69" s="241"/>
      <c r="HN69" s="235"/>
      <c r="HO69" s="235"/>
      <c r="HP69" s="235"/>
      <c r="HQ69" s="235"/>
    </row>
    <row r="70" spans="2:225" hidden="1" outlineLevel="3">
      <c r="B70" s="251" t="s">
        <v>1756</v>
      </c>
      <c r="C70" s="252" t="str">
        <f>IF(E67='3. Dropdowns'!C113,"Hide",IF(E66='3. Dropdowns'!C111,"Hide","Show"))</f>
        <v>Show</v>
      </c>
      <c r="D70" s="283" t="s">
        <v>3180</v>
      </c>
      <c r="E70" s="248"/>
      <c r="F70" s="253" t="str">
        <f>IF(E70='3. Dropdowns'!C115,"","Submittals, Products, Execution")</f>
        <v>Submittals, Products, Execution</v>
      </c>
      <c r="G70" s="268"/>
      <c r="H70" s="238"/>
      <c r="I70" s="239" t="s">
        <v>890</v>
      </c>
      <c r="J70" s="240"/>
      <c r="K70" s="240"/>
      <c r="L70" s="240"/>
      <c r="M70" s="240"/>
      <c r="N70" s="240"/>
      <c r="O70" s="240"/>
      <c r="P70" s="240"/>
      <c r="Q70" s="240"/>
      <c r="R70" s="240"/>
      <c r="S70" s="240"/>
      <c r="T70" s="240" t="s">
        <v>890</v>
      </c>
      <c r="U70" s="240"/>
      <c r="V70" s="240"/>
      <c r="W70" s="240"/>
      <c r="X70" s="238"/>
      <c r="Y70" s="240"/>
      <c r="Z70" s="240"/>
      <c r="AA70" s="240"/>
      <c r="AB70" s="240"/>
      <c r="AC70" s="240"/>
      <c r="AD70" s="240"/>
      <c r="AE70" s="240"/>
      <c r="AF70" s="240"/>
      <c r="AG70" s="240"/>
      <c r="AH70" s="238"/>
      <c r="AI70" s="240"/>
      <c r="AJ70" s="240"/>
      <c r="AK70" s="240"/>
      <c r="AL70" s="240"/>
      <c r="AM70" s="238"/>
      <c r="AN70" s="240"/>
      <c r="AO70" s="240"/>
      <c r="AP70" s="240"/>
      <c r="AQ70" s="238"/>
      <c r="AR70" s="240"/>
      <c r="AS70" s="240"/>
      <c r="AT70" s="240"/>
      <c r="AU70" s="240"/>
      <c r="AV70" s="240"/>
      <c r="AW70" s="240"/>
      <c r="AX70" s="240"/>
      <c r="AY70" s="240"/>
      <c r="AZ70" s="238"/>
      <c r="BA70" s="240"/>
      <c r="BB70" s="240"/>
      <c r="BC70" s="240"/>
      <c r="BD70" s="240"/>
      <c r="BE70" s="240"/>
      <c r="BF70" s="240"/>
      <c r="BG70" s="240"/>
      <c r="BH70" s="240"/>
      <c r="BI70" s="240"/>
      <c r="BJ70" s="240"/>
      <c r="BK70" s="240"/>
      <c r="BL70" s="240"/>
      <c r="BM70" s="240"/>
      <c r="BN70" s="240"/>
      <c r="BO70" s="240"/>
      <c r="BP70" s="238"/>
      <c r="BQ70" s="240"/>
      <c r="BR70" s="240"/>
      <c r="BS70" s="240"/>
      <c r="BT70" s="240"/>
      <c r="BU70" s="240"/>
      <c r="BV70" s="240"/>
      <c r="BW70" s="240"/>
      <c r="BX70" s="240"/>
      <c r="BY70" s="240"/>
      <c r="BZ70" s="240"/>
      <c r="CA70" s="240"/>
      <c r="CB70" s="240"/>
      <c r="CC70" s="240"/>
      <c r="CD70" s="240"/>
      <c r="CE70" s="240"/>
      <c r="CF70" s="238"/>
      <c r="CG70" s="240" t="s">
        <v>890</v>
      </c>
      <c r="CH70" s="240" t="s">
        <v>890</v>
      </c>
      <c r="CI70" s="240"/>
      <c r="CJ70" s="240"/>
      <c r="CK70" s="240"/>
      <c r="CL70" s="240"/>
      <c r="CM70" s="240"/>
      <c r="CN70" s="240"/>
      <c r="CO70" s="240"/>
      <c r="CP70" s="240"/>
      <c r="CQ70" s="240"/>
      <c r="CR70" s="240"/>
      <c r="CS70" s="238"/>
      <c r="CT70" s="240"/>
      <c r="CU70" s="240"/>
      <c r="CV70" s="240"/>
      <c r="CW70" s="240"/>
      <c r="CX70" s="240"/>
      <c r="CY70" s="240"/>
      <c r="CZ70" s="240"/>
      <c r="DA70" s="240"/>
      <c r="DB70" s="240"/>
      <c r="DC70" s="240"/>
      <c r="DD70" s="240"/>
      <c r="DE70" s="240"/>
      <c r="DF70" s="238"/>
      <c r="DG70" s="240"/>
      <c r="DH70" s="240"/>
      <c r="DI70" s="240"/>
      <c r="DJ70" s="240"/>
      <c r="DK70" s="240"/>
      <c r="DL70" s="240"/>
      <c r="DM70" s="240"/>
      <c r="DN70" s="240"/>
      <c r="DO70" s="240"/>
      <c r="DP70" s="240"/>
      <c r="DQ70" s="240"/>
      <c r="DR70" s="238"/>
      <c r="DS70" s="240"/>
      <c r="DT70" s="240"/>
      <c r="DU70" s="240"/>
      <c r="DV70" s="238"/>
      <c r="DW70" s="240"/>
      <c r="DX70" s="240"/>
      <c r="DY70" s="240"/>
      <c r="DZ70" s="240"/>
      <c r="EA70" s="240"/>
      <c r="EB70" s="240"/>
      <c r="EC70" s="240"/>
      <c r="ED70" s="240"/>
      <c r="EE70" s="240"/>
      <c r="EF70" s="238"/>
      <c r="EG70" s="240"/>
      <c r="EH70" s="240"/>
      <c r="EI70" s="240"/>
      <c r="EJ70" s="238"/>
      <c r="EK70" s="240"/>
      <c r="EL70" s="238"/>
      <c r="EM70" s="240"/>
      <c r="EN70" s="240"/>
      <c r="EO70" s="240"/>
      <c r="EP70" s="240"/>
      <c r="EQ70" s="240"/>
      <c r="ER70" s="240"/>
      <c r="ES70" s="240"/>
      <c r="ET70" s="240"/>
      <c r="EU70" s="240"/>
      <c r="EV70" s="240"/>
      <c r="EW70" s="240"/>
      <c r="EX70" s="238"/>
      <c r="EY70" s="240"/>
      <c r="EZ70" s="240"/>
      <c r="FA70" s="240"/>
      <c r="FB70" s="240"/>
      <c r="FC70" s="240"/>
      <c r="FD70" s="240"/>
      <c r="FE70" s="240"/>
      <c r="FF70" s="240"/>
      <c r="FG70" s="240"/>
      <c r="FH70" s="240"/>
      <c r="FI70" s="240"/>
      <c r="FJ70" s="240"/>
      <c r="FK70" s="240"/>
      <c r="FL70" s="240"/>
      <c r="FM70" s="240"/>
      <c r="FN70" s="240"/>
      <c r="FO70" s="238"/>
      <c r="FP70" s="240"/>
      <c r="FQ70" s="240"/>
      <c r="FR70" s="240"/>
      <c r="FS70" s="240"/>
      <c r="FT70" s="240"/>
      <c r="FU70" s="240"/>
      <c r="FV70" s="240"/>
      <c r="FW70" s="240"/>
      <c r="FX70" s="240"/>
      <c r="FY70" s="240"/>
      <c r="FZ70" s="238"/>
      <c r="GA70" s="240"/>
      <c r="GB70" s="240"/>
      <c r="GC70" s="238"/>
      <c r="GD70" s="240"/>
      <c r="GE70" s="240"/>
      <c r="GF70" s="240"/>
      <c r="GG70" s="240"/>
      <c r="GH70" s="238"/>
      <c r="GI70" s="240"/>
      <c r="GJ70" s="240"/>
      <c r="GK70" s="240"/>
      <c r="GL70" s="240"/>
      <c r="GM70" s="238"/>
      <c r="GN70" s="240"/>
      <c r="GO70" s="240"/>
      <c r="GP70" s="240"/>
      <c r="GQ70" s="240"/>
      <c r="GR70" s="240"/>
      <c r="GS70" s="240"/>
      <c r="GT70" s="240"/>
      <c r="GU70" s="240"/>
      <c r="GV70" s="240"/>
      <c r="GW70" s="240"/>
      <c r="GX70" s="240"/>
      <c r="GY70" s="240"/>
      <c r="GZ70" s="240"/>
      <c r="HA70" s="240"/>
      <c r="HB70" s="240"/>
      <c r="HC70" s="240"/>
      <c r="HD70" s="238"/>
      <c r="HE70" s="240"/>
      <c r="HF70" s="240"/>
      <c r="HG70" s="240"/>
      <c r="HH70" s="240"/>
      <c r="HI70" s="240"/>
      <c r="HJ70" s="238"/>
      <c r="HK70" s="240"/>
      <c r="HL70" s="238"/>
      <c r="HM70" s="241"/>
      <c r="HN70" s="235"/>
      <c r="HO70" s="235"/>
      <c r="HP70" s="235"/>
      <c r="HQ70" s="235"/>
    </row>
    <row r="71" spans="2:225" ht="37.5" hidden="1" outlineLevel="3">
      <c r="B71" s="251" t="s">
        <v>1756</v>
      </c>
      <c r="C71" s="252" t="str">
        <f>IF(E67='3. Dropdowns'!C113,"Hide",IF(E66='3. Dropdowns'!C111,"Hide","Show"))</f>
        <v>Show</v>
      </c>
      <c r="D71" s="283" t="s">
        <v>3181</v>
      </c>
      <c r="E71" s="248"/>
      <c r="F71" s="253" t="str">
        <f>IF(E71='3. Dropdowns'!C115,"","Submittals, Products")</f>
        <v>Submittals, Products</v>
      </c>
      <c r="G71" s="268"/>
      <c r="H71" s="238"/>
      <c r="I71" s="239" t="s">
        <v>890</v>
      </c>
      <c r="J71" s="240"/>
      <c r="K71" s="240"/>
      <c r="L71" s="240"/>
      <c r="M71" s="240"/>
      <c r="N71" s="240"/>
      <c r="O71" s="240"/>
      <c r="P71" s="240"/>
      <c r="Q71" s="240"/>
      <c r="R71" s="240"/>
      <c r="S71" s="240"/>
      <c r="T71" s="240" t="s">
        <v>890</v>
      </c>
      <c r="U71" s="240"/>
      <c r="V71" s="240"/>
      <c r="W71" s="240"/>
      <c r="X71" s="238"/>
      <c r="Y71" s="240"/>
      <c r="Z71" s="240"/>
      <c r="AA71" s="240"/>
      <c r="AB71" s="240"/>
      <c r="AC71" s="240"/>
      <c r="AD71" s="240"/>
      <c r="AE71" s="240"/>
      <c r="AF71" s="240"/>
      <c r="AG71" s="240"/>
      <c r="AH71" s="238"/>
      <c r="AI71" s="240"/>
      <c r="AJ71" s="240"/>
      <c r="AK71" s="240"/>
      <c r="AL71" s="240"/>
      <c r="AM71" s="238"/>
      <c r="AN71" s="240"/>
      <c r="AO71" s="240"/>
      <c r="AP71" s="240"/>
      <c r="AQ71" s="238"/>
      <c r="AR71" s="240"/>
      <c r="AS71" s="240"/>
      <c r="AT71" s="240"/>
      <c r="AU71" s="240"/>
      <c r="AV71" s="240"/>
      <c r="AW71" s="240"/>
      <c r="AX71" s="240"/>
      <c r="AY71" s="240"/>
      <c r="AZ71" s="238"/>
      <c r="BA71" s="240"/>
      <c r="BB71" s="240"/>
      <c r="BC71" s="240"/>
      <c r="BD71" s="240"/>
      <c r="BE71" s="240"/>
      <c r="BF71" s="240"/>
      <c r="BG71" s="240"/>
      <c r="BH71" s="240"/>
      <c r="BI71" s="240"/>
      <c r="BJ71" s="240"/>
      <c r="BK71" s="240"/>
      <c r="BL71" s="240"/>
      <c r="BM71" s="240"/>
      <c r="BN71" s="240"/>
      <c r="BO71" s="240"/>
      <c r="BP71" s="238"/>
      <c r="BQ71" s="240"/>
      <c r="BR71" s="240"/>
      <c r="BS71" s="240"/>
      <c r="BT71" s="240"/>
      <c r="BU71" s="240"/>
      <c r="BV71" s="240"/>
      <c r="BW71" s="240"/>
      <c r="BX71" s="240"/>
      <c r="BY71" s="240"/>
      <c r="BZ71" s="240"/>
      <c r="CA71" s="240"/>
      <c r="CB71" s="240"/>
      <c r="CC71" s="240"/>
      <c r="CD71" s="240"/>
      <c r="CE71" s="240"/>
      <c r="CF71" s="238"/>
      <c r="CG71" s="240" t="s">
        <v>890</v>
      </c>
      <c r="CH71" s="240" t="s">
        <v>890</v>
      </c>
      <c r="CI71" s="240" t="s">
        <v>890</v>
      </c>
      <c r="CJ71" s="240" t="s">
        <v>890</v>
      </c>
      <c r="CK71" s="240"/>
      <c r="CL71" s="240"/>
      <c r="CM71" s="240" t="s">
        <v>890</v>
      </c>
      <c r="CN71" s="240"/>
      <c r="CO71" s="240"/>
      <c r="CP71" s="240"/>
      <c r="CQ71" s="240" t="s">
        <v>890</v>
      </c>
      <c r="CR71" s="240"/>
      <c r="CS71" s="238"/>
      <c r="CT71" s="240"/>
      <c r="CU71" s="240"/>
      <c r="CV71" s="240"/>
      <c r="CW71" s="240"/>
      <c r="CX71" s="240"/>
      <c r="CY71" s="240"/>
      <c r="CZ71" s="240"/>
      <c r="DA71" s="240"/>
      <c r="DB71" s="240"/>
      <c r="DC71" s="240"/>
      <c r="DD71" s="240"/>
      <c r="DE71" s="240"/>
      <c r="DF71" s="238"/>
      <c r="DG71" s="240"/>
      <c r="DH71" s="240"/>
      <c r="DI71" s="240"/>
      <c r="DJ71" s="240"/>
      <c r="DK71" s="240"/>
      <c r="DL71" s="240"/>
      <c r="DM71" s="240"/>
      <c r="DN71" s="240"/>
      <c r="DO71" s="240"/>
      <c r="DP71" s="240"/>
      <c r="DQ71" s="240"/>
      <c r="DR71" s="238"/>
      <c r="DS71" s="240"/>
      <c r="DT71" s="240"/>
      <c r="DU71" s="240"/>
      <c r="DV71" s="238"/>
      <c r="DW71" s="240"/>
      <c r="DX71" s="240"/>
      <c r="DY71" s="240"/>
      <c r="DZ71" s="240"/>
      <c r="EA71" s="240"/>
      <c r="EB71" s="240"/>
      <c r="EC71" s="240"/>
      <c r="ED71" s="240"/>
      <c r="EE71" s="240"/>
      <c r="EF71" s="238"/>
      <c r="EG71" s="240"/>
      <c r="EH71" s="240"/>
      <c r="EI71" s="240"/>
      <c r="EJ71" s="238"/>
      <c r="EK71" s="240"/>
      <c r="EL71" s="238"/>
      <c r="EM71" s="240"/>
      <c r="EN71" s="240"/>
      <c r="EO71" s="240"/>
      <c r="EP71" s="240"/>
      <c r="EQ71" s="240"/>
      <c r="ER71" s="240"/>
      <c r="ES71" s="240"/>
      <c r="ET71" s="240"/>
      <c r="EU71" s="240"/>
      <c r="EV71" s="240"/>
      <c r="EW71" s="240"/>
      <c r="EX71" s="238"/>
      <c r="EY71" s="240"/>
      <c r="EZ71" s="240"/>
      <c r="FA71" s="240"/>
      <c r="FB71" s="240"/>
      <c r="FC71" s="240"/>
      <c r="FD71" s="240"/>
      <c r="FE71" s="240"/>
      <c r="FF71" s="240"/>
      <c r="FG71" s="240"/>
      <c r="FH71" s="240"/>
      <c r="FI71" s="240"/>
      <c r="FJ71" s="240"/>
      <c r="FK71" s="240"/>
      <c r="FL71" s="240"/>
      <c r="FM71" s="240"/>
      <c r="FN71" s="240"/>
      <c r="FO71" s="238"/>
      <c r="FP71" s="240"/>
      <c r="FQ71" s="240"/>
      <c r="FR71" s="240"/>
      <c r="FS71" s="240"/>
      <c r="FT71" s="240"/>
      <c r="FU71" s="240"/>
      <c r="FV71" s="240"/>
      <c r="FW71" s="240"/>
      <c r="FX71" s="240"/>
      <c r="FY71" s="240"/>
      <c r="FZ71" s="238"/>
      <c r="GA71" s="240"/>
      <c r="GB71" s="240"/>
      <c r="GC71" s="238"/>
      <c r="GD71" s="240"/>
      <c r="GE71" s="240"/>
      <c r="GF71" s="240"/>
      <c r="GG71" s="240"/>
      <c r="GH71" s="238"/>
      <c r="GI71" s="240"/>
      <c r="GJ71" s="240"/>
      <c r="GK71" s="240"/>
      <c r="GL71" s="240"/>
      <c r="GM71" s="238"/>
      <c r="GN71" s="240"/>
      <c r="GO71" s="240"/>
      <c r="GP71" s="240"/>
      <c r="GQ71" s="240"/>
      <c r="GR71" s="240"/>
      <c r="GS71" s="240"/>
      <c r="GT71" s="240"/>
      <c r="GU71" s="240"/>
      <c r="GV71" s="240"/>
      <c r="GW71" s="240"/>
      <c r="GX71" s="240"/>
      <c r="GY71" s="240"/>
      <c r="GZ71" s="240"/>
      <c r="HA71" s="240"/>
      <c r="HB71" s="240"/>
      <c r="HC71" s="240"/>
      <c r="HD71" s="238"/>
      <c r="HE71" s="240"/>
      <c r="HF71" s="240"/>
      <c r="HG71" s="240"/>
      <c r="HH71" s="240"/>
      <c r="HI71" s="240"/>
      <c r="HJ71" s="238"/>
      <c r="HK71" s="240"/>
      <c r="HL71" s="238"/>
      <c r="HM71" s="241"/>
      <c r="HN71" s="235"/>
      <c r="HO71" s="235"/>
      <c r="HP71" s="235"/>
      <c r="HQ71" s="235"/>
    </row>
    <row r="72" spans="2:225" ht="37.5" hidden="1" outlineLevel="3">
      <c r="B72" s="251" t="s">
        <v>1756</v>
      </c>
      <c r="C72" s="252" t="str">
        <f>IF(E67='3. Dropdowns'!C113,"Hide",IF(E66='3. Dropdowns'!C111,"Hide","Show"))</f>
        <v>Show</v>
      </c>
      <c r="D72" s="283" t="s">
        <v>3182</v>
      </c>
      <c r="E72" s="248"/>
      <c r="F72" s="253" t="str">
        <f>IF(E72='3. Dropdowns'!C115,"","Submittals, Products")</f>
        <v>Submittals, Products</v>
      </c>
      <c r="G72" s="268"/>
      <c r="H72" s="238"/>
      <c r="I72" s="239" t="s">
        <v>890</v>
      </c>
      <c r="J72" s="240"/>
      <c r="K72" s="240"/>
      <c r="L72" s="240"/>
      <c r="M72" s="240"/>
      <c r="N72" s="240"/>
      <c r="O72" s="240"/>
      <c r="P72" s="240"/>
      <c r="Q72" s="240"/>
      <c r="R72" s="240"/>
      <c r="S72" s="240"/>
      <c r="T72" s="240" t="s">
        <v>890</v>
      </c>
      <c r="U72" s="240"/>
      <c r="V72" s="240"/>
      <c r="W72" s="240"/>
      <c r="X72" s="238"/>
      <c r="Y72" s="240"/>
      <c r="Z72" s="240"/>
      <c r="AA72" s="240"/>
      <c r="AB72" s="240"/>
      <c r="AC72" s="240"/>
      <c r="AD72" s="240"/>
      <c r="AE72" s="240"/>
      <c r="AF72" s="240"/>
      <c r="AG72" s="240"/>
      <c r="AH72" s="238"/>
      <c r="AI72" s="240"/>
      <c r="AJ72" s="240"/>
      <c r="AK72" s="240"/>
      <c r="AL72" s="240"/>
      <c r="AM72" s="238"/>
      <c r="AN72" s="240"/>
      <c r="AO72" s="240"/>
      <c r="AP72" s="240"/>
      <c r="AQ72" s="238"/>
      <c r="AR72" s="240"/>
      <c r="AS72" s="240"/>
      <c r="AT72" s="240"/>
      <c r="AU72" s="240"/>
      <c r="AV72" s="240"/>
      <c r="AW72" s="240"/>
      <c r="AX72" s="240"/>
      <c r="AY72" s="240"/>
      <c r="AZ72" s="238"/>
      <c r="BA72" s="240"/>
      <c r="BB72" s="240"/>
      <c r="BC72" s="240"/>
      <c r="BD72" s="240"/>
      <c r="BE72" s="240"/>
      <c r="BF72" s="240"/>
      <c r="BG72" s="240"/>
      <c r="BH72" s="240"/>
      <c r="BI72" s="240"/>
      <c r="BJ72" s="240"/>
      <c r="BK72" s="240"/>
      <c r="BL72" s="240"/>
      <c r="BM72" s="240"/>
      <c r="BN72" s="240"/>
      <c r="BO72" s="240"/>
      <c r="BP72" s="238"/>
      <c r="BQ72" s="240"/>
      <c r="BR72" s="240"/>
      <c r="BS72" s="240"/>
      <c r="BT72" s="240"/>
      <c r="BU72" s="240"/>
      <c r="BV72" s="240"/>
      <c r="BW72" s="240"/>
      <c r="BX72" s="240"/>
      <c r="BY72" s="240"/>
      <c r="BZ72" s="240"/>
      <c r="CA72" s="240"/>
      <c r="CB72" s="240"/>
      <c r="CC72" s="240"/>
      <c r="CD72" s="240"/>
      <c r="CE72" s="240"/>
      <c r="CF72" s="238"/>
      <c r="CG72" s="240" t="s">
        <v>890</v>
      </c>
      <c r="CH72" s="240" t="s">
        <v>890</v>
      </c>
      <c r="CI72" s="240"/>
      <c r="CJ72" s="240"/>
      <c r="CK72" s="240"/>
      <c r="CL72" s="240"/>
      <c r="CM72" s="240"/>
      <c r="CN72" s="240"/>
      <c r="CO72" s="240" t="s">
        <v>890</v>
      </c>
      <c r="CP72" s="240"/>
      <c r="CQ72" s="240"/>
      <c r="CR72" s="240"/>
      <c r="CS72" s="238"/>
      <c r="CT72" s="240"/>
      <c r="CU72" s="240"/>
      <c r="CV72" s="240"/>
      <c r="CW72" s="240"/>
      <c r="CX72" s="240"/>
      <c r="CY72" s="240"/>
      <c r="CZ72" s="240"/>
      <c r="DA72" s="240"/>
      <c r="DB72" s="240"/>
      <c r="DC72" s="240"/>
      <c r="DD72" s="240"/>
      <c r="DE72" s="240"/>
      <c r="DF72" s="238"/>
      <c r="DG72" s="240"/>
      <c r="DH72" s="240"/>
      <c r="DI72" s="240"/>
      <c r="DJ72" s="240"/>
      <c r="DK72" s="240"/>
      <c r="DL72" s="240"/>
      <c r="DM72" s="240"/>
      <c r="DN72" s="240"/>
      <c r="DO72" s="240"/>
      <c r="DP72" s="240"/>
      <c r="DQ72" s="240"/>
      <c r="DR72" s="238"/>
      <c r="DS72" s="240"/>
      <c r="DT72" s="240"/>
      <c r="DU72" s="240"/>
      <c r="DV72" s="238"/>
      <c r="DW72" s="240"/>
      <c r="DX72" s="240"/>
      <c r="DY72" s="240"/>
      <c r="DZ72" s="240"/>
      <c r="EA72" s="240"/>
      <c r="EB72" s="240"/>
      <c r="EC72" s="240"/>
      <c r="ED72" s="240"/>
      <c r="EE72" s="240"/>
      <c r="EF72" s="238"/>
      <c r="EG72" s="240"/>
      <c r="EH72" s="240"/>
      <c r="EI72" s="240"/>
      <c r="EJ72" s="238"/>
      <c r="EK72" s="240"/>
      <c r="EL72" s="238"/>
      <c r="EM72" s="240"/>
      <c r="EN72" s="240"/>
      <c r="EO72" s="240"/>
      <c r="EP72" s="240"/>
      <c r="EQ72" s="240"/>
      <c r="ER72" s="240"/>
      <c r="ES72" s="240"/>
      <c r="ET72" s="240"/>
      <c r="EU72" s="240"/>
      <c r="EV72" s="240"/>
      <c r="EW72" s="240"/>
      <c r="EX72" s="238"/>
      <c r="EY72" s="240"/>
      <c r="EZ72" s="240"/>
      <c r="FA72" s="240"/>
      <c r="FB72" s="240"/>
      <c r="FC72" s="240"/>
      <c r="FD72" s="240"/>
      <c r="FE72" s="240"/>
      <c r="FF72" s="240"/>
      <c r="FG72" s="240"/>
      <c r="FH72" s="240"/>
      <c r="FI72" s="240"/>
      <c r="FJ72" s="240"/>
      <c r="FK72" s="240"/>
      <c r="FL72" s="240"/>
      <c r="FM72" s="240"/>
      <c r="FN72" s="240"/>
      <c r="FO72" s="238"/>
      <c r="FP72" s="240"/>
      <c r="FQ72" s="240"/>
      <c r="FR72" s="240"/>
      <c r="FS72" s="240"/>
      <c r="FT72" s="240"/>
      <c r="FU72" s="240"/>
      <c r="FV72" s="240"/>
      <c r="FW72" s="240"/>
      <c r="FX72" s="240"/>
      <c r="FY72" s="240"/>
      <c r="FZ72" s="238"/>
      <c r="GA72" s="240"/>
      <c r="GB72" s="240"/>
      <c r="GC72" s="238"/>
      <c r="GD72" s="240"/>
      <c r="GE72" s="240"/>
      <c r="GF72" s="240"/>
      <c r="GG72" s="240"/>
      <c r="GH72" s="238"/>
      <c r="GI72" s="240"/>
      <c r="GJ72" s="240"/>
      <c r="GK72" s="240"/>
      <c r="GL72" s="240"/>
      <c r="GM72" s="238"/>
      <c r="GN72" s="240"/>
      <c r="GO72" s="240"/>
      <c r="GP72" s="240"/>
      <c r="GQ72" s="240"/>
      <c r="GR72" s="240"/>
      <c r="GS72" s="240"/>
      <c r="GT72" s="240"/>
      <c r="GU72" s="240"/>
      <c r="GV72" s="240"/>
      <c r="GW72" s="240"/>
      <c r="GX72" s="240"/>
      <c r="GY72" s="240"/>
      <c r="GZ72" s="240"/>
      <c r="HA72" s="240"/>
      <c r="HB72" s="240"/>
      <c r="HC72" s="240"/>
      <c r="HD72" s="238"/>
      <c r="HE72" s="240"/>
      <c r="HF72" s="240"/>
      <c r="HG72" s="240"/>
      <c r="HH72" s="240"/>
      <c r="HI72" s="240"/>
      <c r="HJ72" s="238"/>
      <c r="HK72" s="240"/>
      <c r="HL72" s="238"/>
      <c r="HM72" s="241"/>
      <c r="HN72" s="235"/>
      <c r="HO72" s="235"/>
      <c r="HP72" s="235"/>
      <c r="HQ72" s="235"/>
    </row>
    <row r="73" spans="2:225" ht="37.5" hidden="1" outlineLevel="3">
      <c r="B73" s="251" t="s">
        <v>1756</v>
      </c>
      <c r="C73" s="252" t="str">
        <f>IF(E67='3. Dropdowns'!C113,"Hide",IF(E66='3. Dropdowns'!C111,"Hide","Show"))</f>
        <v>Show</v>
      </c>
      <c r="D73" s="283" t="s">
        <v>3183</v>
      </c>
      <c r="E73" s="248"/>
      <c r="F73" s="253" t="str">
        <f>IF(E73='3. Dropdowns'!C115,"","Submittals, Products, Execution")</f>
        <v>Submittals, Products, Execution</v>
      </c>
      <c r="G73" s="268"/>
      <c r="H73" s="238"/>
      <c r="I73" s="239" t="s">
        <v>890</v>
      </c>
      <c r="J73" s="240"/>
      <c r="K73" s="240"/>
      <c r="L73" s="240"/>
      <c r="M73" s="240"/>
      <c r="N73" s="240"/>
      <c r="O73" s="240"/>
      <c r="P73" s="240"/>
      <c r="Q73" s="240"/>
      <c r="R73" s="240"/>
      <c r="S73" s="240"/>
      <c r="T73" s="240" t="s">
        <v>890</v>
      </c>
      <c r="U73" s="240"/>
      <c r="V73" s="240"/>
      <c r="W73" s="240"/>
      <c r="X73" s="238"/>
      <c r="Y73" s="240"/>
      <c r="Z73" s="240"/>
      <c r="AA73" s="240"/>
      <c r="AB73" s="240"/>
      <c r="AC73" s="240"/>
      <c r="AD73" s="240"/>
      <c r="AE73" s="240"/>
      <c r="AF73" s="240"/>
      <c r="AG73" s="240"/>
      <c r="AH73" s="238"/>
      <c r="AI73" s="240"/>
      <c r="AJ73" s="240"/>
      <c r="AK73" s="240"/>
      <c r="AL73" s="240"/>
      <c r="AM73" s="238"/>
      <c r="AN73" s="240"/>
      <c r="AO73" s="240"/>
      <c r="AP73" s="240"/>
      <c r="AQ73" s="238"/>
      <c r="AR73" s="240"/>
      <c r="AS73" s="240"/>
      <c r="AT73" s="240"/>
      <c r="AU73" s="240"/>
      <c r="AV73" s="240"/>
      <c r="AW73" s="240"/>
      <c r="AX73" s="240"/>
      <c r="AY73" s="240"/>
      <c r="AZ73" s="238"/>
      <c r="BA73" s="240"/>
      <c r="BB73" s="240"/>
      <c r="BC73" s="240"/>
      <c r="BD73" s="240"/>
      <c r="BE73" s="240"/>
      <c r="BF73" s="240"/>
      <c r="BG73" s="240"/>
      <c r="BH73" s="240"/>
      <c r="BI73" s="240"/>
      <c r="BJ73" s="240"/>
      <c r="BK73" s="240"/>
      <c r="BL73" s="240"/>
      <c r="BM73" s="240"/>
      <c r="BN73" s="240"/>
      <c r="BO73" s="240"/>
      <c r="BP73" s="238"/>
      <c r="BQ73" s="240"/>
      <c r="BR73" s="240"/>
      <c r="BS73" s="240"/>
      <c r="BT73" s="240"/>
      <c r="BU73" s="240"/>
      <c r="BV73" s="240"/>
      <c r="BW73" s="240"/>
      <c r="BX73" s="240"/>
      <c r="BY73" s="240"/>
      <c r="BZ73" s="240"/>
      <c r="CA73" s="240"/>
      <c r="CB73" s="240"/>
      <c r="CC73" s="240"/>
      <c r="CD73" s="240"/>
      <c r="CE73" s="240"/>
      <c r="CF73" s="238"/>
      <c r="CG73" s="240"/>
      <c r="CH73" s="240"/>
      <c r="CI73" s="240" t="s">
        <v>890</v>
      </c>
      <c r="CJ73" s="240" t="s">
        <v>890</v>
      </c>
      <c r="CK73" s="240"/>
      <c r="CL73" s="240" t="s">
        <v>890</v>
      </c>
      <c r="CM73" s="240" t="s">
        <v>890</v>
      </c>
      <c r="CN73" s="240" t="s">
        <v>890</v>
      </c>
      <c r="CO73" s="240"/>
      <c r="CP73" s="240"/>
      <c r="CQ73" s="240" t="s">
        <v>890</v>
      </c>
      <c r="CR73" s="240"/>
      <c r="CS73" s="238"/>
      <c r="CT73" s="240"/>
      <c r="CU73" s="240"/>
      <c r="CV73" s="240"/>
      <c r="CW73" s="240"/>
      <c r="CX73" s="240"/>
      <c r="CY73" s="240"/>
      <c r="CZ73" s="240"/>
      <c r="DA73" s="240"/>
      <c r="DB73" s="240"/>
      <c r="DC73" s="240"/>
      <c r="DD73" s="240"/>
      <c r="DE73" s="240"/>
      <c r="DF73" s="238"/>
      <c r="DG73" s="240"/>
      <c r="DH73" s="240"/>
      <c r="DI73" s="240"/>
      <c r="DJ73" s="240"/>
      <c r="DK73" s="240"/>
      <c r="DL73" s="240" t="s">
        <v>890</v>
      </c>
      <c r="DM73" s="240" t="s">
        <v>890</v>
      </c>
      <c r="DN73" s="240"/>
      <c r="DO73" s="240"/>
      <c r="DP73" s="240"/>
      <c r="DQ73" s="240"/>
      <c r="DR73" s="238"/>
      <c r="DS73" s="240"/>
      <c r="DT73" s="240"/>
      <c r="DU73" s="240"/>
      <c r="DV73" s="238"/>
      <c r="DW73" s="240"/>
      <c r="DX73" s="240"/>
      <c r="DY73" s="240"/>
      <c r="DZ73" s="240"/>
      <c r="EA73" s="240"/>
      <c r="EB73" s="240"/>
      <c r="EC73" s="240"/>
      <c r="ED73" s="240"/>
      <c r="EE73" s="240"/>
      <c r="EF73" s="238"/>
      <c r="EG73" s="240"/>
      <c r="EH73" s="240"/>
      <c r="EI73" s="240"/>
      <c r="EJ73" s="238"/>
      <c r="EK73" s="240"/>
      <c r="EL73" s="238"/>
      <c r="EM73" s="240"/>
      <c r="EN73" s="240"/>
      <c r="EO73" s="240"/>
      <c r="EP73" s="240"/>
      <c r="EQ73" s="240"/>
      <c r="ER73" s="240"/>
      <c r="ES73" s="240"/>
      <c r="ET73" s="240"/>
      <c r="EU73" s="240"/>
      <c r="EV73" s="240"/>
      <c r="EW73" s="240"/>
      <c r="EX73" s="238"/>
      <c r="EY73" s="240"/>
      <c r="EZ73" s="240"/>
      <c r="FA73" s="240"/>
      <c r="FB73" s="240"/>
      <c r="FC73" s="240"/>
      <c r="FD73" s="240"/>
      <c r="FE73" s="240"/>
      <c r="FF73" s="240"/>
      <c r="FG73" s="240"/>
      <c r="FH73" s="240"/>
      <c r="FI73" s="240"/>
      <c r="FJ73" s="240"/>
      <c r="FK73" s="240"/>
      <c r="FL73" s="240"/>
      <c r="FM73" s="240"/>
      <c r="FN73" s="240"/>
      <c r="FO73" s="238"/>
      <c r="FP73" s="240"/>
      <c r="FQ73" s="240"/>
      <c r="FR73" s="240"/>
      <c r="FS73" s="240"/>
      <c r="FT73" s="240"/>
      <c r="FU73" s="240"/>
      <c r="FV73" s="240"/>
      <c r="FW73" s="240"/>
      <c r="FX73" s="240"/>
      <c r="FY73" s="240"/>
      <c r="FZ73" s="238"/>
      <c r="GA73" s="240"/>
      <c r="GB73" s="240"/>
      <c r="GC73" s="238"/>
      <c r="GD73" s="240"/>
      <c r="GE73" s="240"/>
      <c r="GF73" s="240"/>
      <c r="GG73" s="240"/>
      <c r="GH73" s="238"/>
      <c r="GI73" s="240"/>
      <c r="GJ73" s="240"/>
      <c r="GK73" s="240"/>
      <c r="GL73" s="240"/>
      <c r="GM73" s="238"/>
      <c r="GN73" s="240"/>
      <c r="GO73" s="240"/>
      <c r="GP73" s="240"/>
      <c r="GQ73" s="240"/>
      <c r="GR73" s="240"/>
      <c r="GS73" s="240"/>
      <c r="GT73" s="240"/>
      <c r="GU73" s="240"/>
      <c r="GV73" s="240"/>
      <c r="GW73" s="240"/>
      <c r="GX73" s="240"/>
      <c r="GY73" s="240"/>
      <c r="GZ73" s="240"/>
      <c r="HA73" s="240"/>
      <c r="HB73" s="240"/>
      <c r="HC73" s="240"/>
      <c r="HD73" s="238"/>
      <c r="HE73" s="240"/>
      <c r="HF73" s="240"/>
      <c r="HG73" s="240"/>
      <c r="HH73" s="240"/>
      <c r="HI73" s="240"/>
      <c r="HJ73" s="238"/>
      <c r="HK73" s="240"/>
      <c r="HL73" s="238"/>
      <c r="HM73" s="241"/>
      <c r="HN73" s="235"/>
      <c r="HO73" s="235"/>
      <c r="HP73" s="235"/>
      <c r="HQ73" s="235"/>
    </row>
    <row r="74" spans="2:225" ht="37.5" hidden="1" outlineLevel="3">
      <c r="B74" s="251" t="s">
        <v>1756</v>
      </c>
      <c r="C74" s="252" t="str">
        <f>IF(E67='3. Dropdowns'!C113,"Hide",IF(E66='3. Dropdowns'!C111,"Hide","Show"))</f>
        <v>Show</v>
      </c>
      <c r="D74" s="283" t="s">
        <v>3184</v>
      </c>
      <c r="E74" s="248"/>
      <c r="F74" s="253" t="str">
        <f>IF(E74='3. Dropdowns'!C115,"","Submittals, Products, Execution")</f>
        <v>Submittals, Products, Execution</v>
      </c>
      <c r="G74" s="268"/>
      <c r="H74" s="238"/>
      <c r="I74" s="239" t="s">
        <v>890</v>
      </c>
      <c r="J74" s="240"/>
      <c r="K74" s="240"/>
      <c r="L74" s="240"/>
      <c r="M74" s="240"/>
      <c r="N74" s="240"/>
      <c r="O74" s="240"/>
      <c r="P74" s="240"/>
      <c r="Q74" s="240"/>
      <c r="R74" s="240"/>
      <c r="S74" s="240"/>
      <c r="T74" s="240" t="s">
        <v>890</v>
      </c>
      <c r="U74" s="240"/>
      <c r="V74" s="240"/>
      <c r="W74" s="240"/>
      <c r="X74" s="238"/>
      <c r="Y74" s="240"/>
      <c r="Z74" s="240"/>
      <c r="AA74" s="240"/>
      <c r="AB74" s="240"/>
      <c r="AC74" s="240"/>
      <c r="AD74" s="240"/>
      <c r="AE74" s="240"/>
      <c r="AF74" s="240"/>
      <c r="AG74" s="240"/>
      <c r="AH74" s="238"/>
      <c r="AI74" s="240"/>
      <c r="AJ74" s="240"/>
      <c r="AK74" s="240"/>
      <c r="AL74" s="240"/>
      <c r="AM74" s="238"/>
      <c r="AN74" s="240"/>
      <c r="AO74" s="240"/>
      <c r="AP74" s="240"/>
      <c r="AQ74" s="238"/>
      <c r="AR74" s="240"/>
      <c r="AS74" s="240"/>
      <c r="AT74" s="240"/>
      <c r="AU74" s="240"/>
      <c r="AV74" s="240"/>
      <c r="AW74" s="240"/>
      <c r="AX74" s="240"/>
      <c r="AY74" s="240"/>
      <c r="AZ74" s="238"/>
      <c r="BA74" s="240"/>
      <c r="BB74" s="240"/>
      <c r="BC74" s="240"/>
      <c r="BD74" s="240"/>
      <c r="BE74" s="240"/>
      <c r="BF74" s="240"/>
      <c r="BG74" s="240"/>
      <c r="BH74" s="240"/>
      <c r="BI74" s="240"/>
      <c r="BJ74" s="240"/>
      <c r="BK74" s="240"/>
      <c r="BL74" s="240"/>
      <c r="BM74" s="240"/>
      <c r="BN74" s="240"/>
      <c r="BO74" s="240"/>
      <c r="BP74" s="238"/>
      <c r="BQ74" s="240"/>
      <c r="BR74" s="240"/>
      <c r="BS74" s="240"/>
      <c r="BT74" s="240"/>
      <c r="BU74" s="240"/>
      <c r="BV74" s="240"/>
      <c r="BW74" s="240"/>
      <c r="BX74" s="240"/>
      <c r="BY74" s="240"/>
      <c r="BZ74" s="240"/>
      <c r="CA74" s="240"/>
      <c r="CB74" s="240"/>
      <c r="CC74" s="240"/>
      <c r="CD74" s="240"/>
      <c r="CE74" s="240"/>
      <c r="CF74" s="238"/>
      <c r="CG74" s="240" t="s">
        <v>890</v>
      </c>
      <c r="CH74" s="240" t="s">
        <v>890</v>
      </c>
      <c r="CI74" s="240" t="s">
        <v>890</v>
      </c>
      <c r="CJ74" s="240"/>
      <c r="CK74" s="240"/>
      <c r="CL74" s="240"/>
      <c r="CM74" s="240"/>
      <c r="CN74" s="240"/>
      <c r="CO74" s="240" t="s">
        <v>890</v>
      </c>
      <c r="CP74" s="240"/>
      <c r="CQ74" s="240"/>
      <c r="CR74" s="240"/>
      <c r="CS74" s="238"/>
      <c r="CT74" s="240"/>
      <c r="CU74" s="240"/>
      <c r="CV74" s="240"/>
      <c r="CW74" s="240"/>
      <c r="CX74" s="240"/>
      <c r="CY74" s="240"/>
      <c r="CZ74" s="240"/>
      <c r="DA74" s="240"/>
      <c r="DB74" s="240"/>
      <c r="DC74" s="240"/>
      <c r="DD74" s="240"/>
      <c r="DE74" s="240"/>
      <c r="DF74" s="238"/>
      <c r="DG74" s="240"/>
      <c r="DH74" s="240"/>
      <c r="DI74" s="240"/>
      <c r="DJ74" s="240"/>
      <c r="DK74" s="240"/>
      <c r="DL74" s="240"/>
      <c r="DM74" s="240"/>
      <c r="DN74" s="240"/>
      <c r="DO74" s="240"/>
      <c r="DP74" s="240"/>
      <c r="DQ74" s="240"/>
      <c r="DR74" s="238"/>
      <c r="DS74" s="240"/>
      <c r="DT74" s="240"/>
      <c r="DU74" s="240"/>
      <c r="DV74" s="238"/>
      <c r="DW74" s="240"/>
      <c r="DX74" s="240"/>
      <c r="DY74" s="240"/>
      <c r="DZ74" s="240"/>
      <c r="EA74" s="240"/>
      <c r="EB74" s="240"/>
      <c r="EC74" s="240"/>
      <c r="ED74" s="240"/>
      <c r="EE74" s="240"/>
      <c r="EF74" s="238"/>
      <c r="EG74" s="240"/>
      <c r="EH74" s="240"/>
      <c r="EI74" s="240"/>
      <c r="EJ74" s="238"/>
      <c r="EK74" s="240"/>
      <c r="EL74" s="238"/>
      <c r="EM74" s="240"/>
      <c r="EN74" s="240"/>
      <c r="EO74" s="240"/>
      <c r="EP74" s="240"/>
      <c r="EQ74" s="240"/>
      <c r="ER74" s="240"/>
      <c r="ES74" s="240"/>
      <c r="ET74" s="240"/>
      <c r="EU74" s="240"/>
      <c r="EV74" s="240"/>
      <c r="EW74" s="240"/>
      <c r="EX74" s="238"/>
      <c r="EY74" s="240"/>
      <c r="EZ74" s="240"/>
      <c r="FA74" s="240"/>
      <c r="FB74" s="240"/>
      <c r="FC74" s="240"/>
      <c r="FD74" s="240"/>
      <c r="FE74" s="240"/>
      <c r="FF74" s="240"/>
      <c r="FG74" s="240"/>
      <c r="FH74" s="240"/>
      <c r="FI74" s="240"/>
      <c r="FJ74" s="240"/>
      <c r="FK74" s="240"/>
      <c r="FL74" s="240"/>
      <c r="FM74" s="240"/>
      <c r="FN74" s="240"/>
      <c r="FO74" s="238"/>
      <c r="FP74" s="240"/>
      <c r="FQ74" s="240"/>
      <c r="FR74" s="240"/>
      <c r="FS74" s="240"/>
      <c r="FT74" s="240"/>
      <c r="FU74" s="240"/>
      <c r="FV74" s="240"/>
      <c r="FW74" s="240"/>
      <c r="FX74" s="240"/>
      <c r="FY74" s="240"/>
      <c r="FZ74" s="238"/>
      <c r="GA74" s="240"/>
      <c r="GB74" s="240"/>
      <c r="GC74" s="238"/>
      <c r="GD74" s="240"/>
      <c r="GE74" s="240"/>
      <c r="GF74" s="240"/>
      <c r="GG74" s="240"/>
      <c r="GH74" s="238"/>
      <c r="GI74" s="240"/>
      <c r="GJ74" s="240"/>
      <c r="GK74" s="240"/>
      <c r="GL74" s="240"/>
      <c r="GM74" s="238"/>
      <c r="GN74" s="240"/>
      <c r="GO74" s="240"/>
      <c r="GP74" s="240"/>
      <c r="GQ74" s="240"/>
      <c r="GR74" s="240"/>
      <c r="GS74" s="240"/>
      <c r="GT74" s="240"/>
      <c r="GU74" s="240"/>
      <c r="GV74" s="240"/>
      <c r="GW74" s="240"/>
      <c r="GX74" s="240"/>
      <c r="GY74" s="240"/>
      <c r="GZ74" s="240"/>
      <c r="HA74" s="240"/>
      <c r="HB74" s="240"/>
      <c r="HC74" s="240"/>
      <c r="HD74" s="238"/>
      <c r="HE74" s="240"/>
      <c r="HF74" s="240"/>
      <c r="HG74" s="240"/>
      <c r="HH74" s="240"/>
      <c r="HI74" s="240"/>
      <c r="HJ74" s="238"/>
      <c r="HK74" s="240"/>
      <c r="HL74" s="238"/>
      <c r="HM74" s="241"/>
      <c r="HN74" s="235"/>
      <c r="HO74" s="235"/>
      <c r="HP74" s="235"/>
      <c r="HQ74" s="235"/>
    </row>
    <row r="75" spans="2:225" ht="37.5" hidden="1" outlineLevel="2" collapsed="1">
      <c r="B75" s="251" t="s">
        <v>713</v>
      </c>
      <c r="C75" s="252" t="str">
        <f>IF(E66='3. Dropdowns'!C111,"Hide","Show")</f>
        <v>Show</v>
      </c>
      <c r="D75" s="283" t="s">
        <v>3185</v>
      </c>
      <c r="E75" s="248"/>
      <c r="F75" s="284" t="str">
        <f>IF(E75='3. Dropdowns'!C113,"","Submittals, Products, Execution")</f>
        <v>Submittals, Products, Execution</v>
      </c>
      <c r="G75" s="268"/>
      <c r="H75" s="238"/>
      <c r="I75" s="239" t="s">
        <v>890</v>
      </c>
      <c r="J75" s="240"/>
      <c r="K75" s="240"/>
      <c r="L75" s="240"/>
      <c r="M75" s="240"/>
      <c r="N75" s="240"/>
      <c r="O75" s="240"/>
      <c r="P75" s="240"/>
      <c r="Q75" s="240"/>
      <c r="R75" s="240"/>
      <c r="S75" s="240"/>
      <c r="T75" s="240" t="s">
        <v>890</v>
      </c>
      <c r="U75" s="240"/>
      <c r="V75" s="240"/>
      <c r="W75" s="240"/>
      <c r="X75" s="238"/>
      <c r="Y75" s="240"/>
      <c r="Z75" s="240"/>
      <c r="AA75" s="240"/>
      <c r="AB75" s="240"/>
      <c r="AC75" s="240"/>
      <c r="AD75" s="240"/>
      <c r="AE75" s="240"/>
      <c r="AF75" s="240"/>
      <c r="AG75" s="240"/>
      <c r="AH75" s="238"/>
      <c r="AI75" s="240"/>
      <c r="AJ75" s="240"/>
      <c r="AK75" s="240"/>
      <c r="AL75" s="240"/>
      <c r="AM75" s="238"/>
      <c r="AN75" s="240"/>
      <c r="AO75" s="240"/>
      <c r="AP75" s="240"/>
      <c r="AQ75" s="238"/>
      <c r="AR75" s="240"/>
      <c r="AS75" s="240"/>
      <c r="AT75" s="240"/>
      <c r="AU75" s="240"/>
      <c r="AV75" s="240"/>
      <c r="AW75" s="240"/>
      <c r="AX75" s="240"/>
      <c r="AY75" s="240"/>
      <c r="AZ75" s="238"/>
      <c r="BA75" s="240" t="s">
        <v>890</v>
      </c>
      <c r="BB75" s="240"/>
      <c r="BC75" s="240"/>
      <c r="BD75" s="240"/>
      <c r="BE75" s="240"/>
      <c r="BF75" s="240"/>
      <c r="BG75" s="240" t="s">
        <v>890</v>
      </c>
      <c r="BH75" s="240"/>
      <c r="BI75" s="240"/>
      <c r="BJ75" s="240"/>
      <c r="BK75" s="240"/>
      <c r="BL75" s="240"/>
      <c r="BM75" s="240"/>
      <c r="BN75" s="240"/>
      <c r="BO75" s="240"/>
      <c r="BP75" s="238"/>
      <c r="BQ75" s="240"/>
      <c r="BR75" s="240"/>
      <c r="BS75" s="240"/>
      <c r="BT75" s="240"/>
      <c r="BU75" s="240"/>
      <c r="BV75" s="240"/>
      <c r="BW75" s="240" t="s">
        <v>890</v>
      </c>
      <c r="BX75" s="240" t="s">
        <v>890</v>
      </c>
      <c r="BY75" s="240"/>
      <c r="BZ75" s="240"/>
      <c r="CA75" s="240" t="s">
        <v>890</v>
      </c>
      <c r="CB75" s="240" t="s">
        <v>890</v>
      </c>
      <c r="CC75" s="240"/>
      <c r="CD75" s="240"/>
      <c r="CE75" s="240"/>
      <c r="CF75" s="238"/>
      <c r="CG75" s="240"/>
      <c r="CH75" s="240"/>
      <c r="CI75" s="240"/>
      <c r="CJ75" s="240"/>
      <c r="CK75" s="240"/>
      <c r="CL75" s="240"/>
      <c r="CM75" s="240"/>
      <c r="CN75" s="240"/>
      <c r="CO75" s="240"/>
      <c r="CP75" s="240"/>
      <c r="CQ75" s="240"/>
      <c r="CR75" s="240"/>
      <c r="CS75" s="238"/>
      <c r="CT75" s="240"/>
      <c r="CU75" s="240"/>
      <c r="CV75" s="240"/>
      <c r="CW75" s="240"/>
      <c r="CX75" s="240"/>
      <c r="CY75" s="240"/>
      <c r="CZ75" s="240"/>
      <c r="DA75" s="240"/>
      <c r="DB75" s="240"/>
      <c r="DC75" s="240"/>
      <c r="DD75" s="240"/>
      <c r="DE75" s="240"/>
      <c r="DF75" s="238"/>
      <c r="DG75" s="240"/>
      <c r="DH75" s="240"/>
      <c r="DI75" s="240"/>
      <c r="DJ75" s="240"/>
      <c r="DK75" s="240"/>
      <c r="DL75" s="240"/>
      <c r="DM75" s="240"/>
      <c r="DN75" s="240"/>
      <c r="DO75" s="240"/>
      <c r="DP75" s="240"/>
      <c r="DQ75" s="240"/>
      <c r="DR75" s="238"/>
      <c r="DS75" s="240"/>
      <c r="DT75" s="240"/>
      <c r="DU75" s="240"/>
      <c r="DV75" s="238"/>
      <c r="DW75" s="240"/>
      <c r="DX75" s="240"/>
      <c r="DY75" s="240"/>
      <c r="DZ75" s="240"/>
      <c r="EA75" s="240"/>
      <c r="EB75" s="240"/>
      <c r="EC75" s="240"/>
      <c r="ED75" s="240"/>
      <c r="EE75" s="240"/>
      <c r="EF75" s="238"/>
      <c r="EG75" s="240"/>
      <c r="EH75" s="240"/>
      <c r="EI75" s="240"/>
      <c r="EJ75" s="238"/>
      <c r="EK75" s="240"/>
      <c r="EL75" s="238"/>
      <c r="EM75" s="240"/>
      <c r="EN75" s="240"/>
      <c r="EO75" s="240"/>
      <c r="EP75" s="240"/>
      <c r="EQ75" s="240"/>
      <c r="ER75" s="240"/>
      <c r="ES75" s="240"/>
      <c r="ET75" s="240"/>
      <c r="EU75" s="240"/>
      <c r="EV75" s="240"/>
      <c r="EW75" s="240"/>
      <c r="EX75" s="238"/>
      <c r="EY75" s="240"/>
      <c r="EZ75" s="240"/>
      <c r="FA75" s="240"/>
      <c r="FB75" s="240"/>
      <c r="FC75" s="240"/>
      <c r="FD75" s="240"/>
      <c r="FE75" s="240"/>
      <c r="FF75" s="240"/>
      <c r="FG75" s="240"/>
      <c r="FH75" s="240"/>
      <c r="FI75" s="240"/>
      <c r="FJ75" s="240"/>
      <c r="FK75" s="240"/>
      <c r="FL75" s="240"/>
      <c r="FM75" s="240"/>
      <c r="FN75" s="240"/>
      <c r="FO75" s="238"/>
      <c r="FP75" s="240"/>
      <c r="FQ75" s="240"/>
      <c r="FR75" s="240"/>
      <c r="FS75" s="240"/>
      <c r="FT75" s="240"/>
      <c r="FU75" s="240"/>
      <c r="FV75" s="240"/>
      <c r="FW75" s="240"/>
      <c r="FX75" s="240"/>
      <c r="FY75" s="240"/>
      <c r="FZ75" s="238"/>
      <c r="GA75" s="240"/>
      <c r="GB75" s="240"/>
      <c r="GC75" s="238"/>
      <c r="GD75" s="240"/>
      <c r="GE75" s="240"/>
      <c r="GF75" s="240"/>
      <c r="GG75" s="240"/>
      <c r="GH75" s="238"/>
      <c r="GI75" s="240"/>
      <c r="GJ75" s="240"/>
      <c r="GK75" s="240"/>
      <c r="GL75" s="240"/>
      <c r="GM75" s="238"/>
      <c r="GN75" s="240"/>
      <c r="GO75" s="240"/>
      <c r="GP75" s="240"/>
      <c r="GQ75" s="240"/>
      <c r="GR75" s="240"/>
      <c r="GS75" s="240"/>
      <c r="GT75" s="240"/>
      <c r="GU75" s="240"/>
      <c r="GV75" s="240"/>
      <c r="GW75" s="240"/>
      <c r="GX75" s="240"/>
      <c r="GY75" s="240"/>
      <c r="GZ75" s="240"/>
      <c r="HA75" s="240"/>
      <c r="HB75" s="240"/>
      <c r="HC75" s="240"/>
      <c r="HD75" s="238"/>
      <c r="HE75" s="240"/>
      <c r="HF75" s="240"/>
      <c r="HG75" s="240"/>
      <c r="HH75" s="240"/>
      <c r="HI75" s="240"/>
      <c r="HJ75" s="238"/>
      <c r="HK75" s="240"/>
      <c r="HL75" s="238"/>
      <c r="HM75" s="241"/>
      <c r="HN75" s="235"/>
      <c r="HO75" s="235"/>
      <c r="HP75" s="235"/>
      <c r="HQ75" s="235"/>
    </row>
    <row r="76" spans="2:225" ht="37.5" hidden="1" outlineLevel="3">
      <c r="B76" s="251" t="s">
        <v>1777</v>
      </c>
      <c r="C76" s="252" t="str">
        <f>IF(E75='3. Dropdowns'!C113,"Hide",IF(E66='3. Dropdowns'!C111,"Hide","Show"))</f>
        <v>Show</v>
      </c>
      <c r="D76" s="283" t="s">
        <v>3186</v>
      </c>
      <c r="E76" s="248"/>
      <c r="F76" s="253" t="str">
        <f>IF(E76='3. Dropdowns'!C115,"","Submittals, Products")</f>
        <v>Submittals, Products</v>
      </c>
      <c r="G76" s="268"/>
      <c r="H76" s="238"/>
      <c r="I76" s="239" t="s">
        <v>890</v>
      </c>
      <c r="J76" s="240"/>
      <c r="K76" s="240"/>
      <c r="L76" s="240"/>
      <c r="M76" s="240"/>
      <c r="N76" s="240"/>
      <c r="O76" s="240"/>
      <c r="P76" s="240"/>
      <c r="Q76" s="240"/>
      <c r="R76" s="240"/>
      <c r="S76" s="240"/>
      <c r="T76" s="240" t="s">
        <v>890</v>
      </c>
      <c r="U76" s="240"/>
      <c r="V76" s="240"/>
      <c r="W76" s="240"/>
      <c r="X76" s="238"/>
      <c r="Y76" s="240"/>
      <c r="Z76" s="240"/>
      <c r="AA76" s="240"/>
      <c r="AB76" s="240"/>
      <c r="AC76" s="240"/>
      <c r="AD76" s="240"/>
      <c r="AE76" s="240"/>
      <c r="AF76" s="240"/>
      <c r="AG76" s="240"/>
      <c r="AH76" s="238"/>
      <c r="AI76" s="240"/>
      <c r="AJ76" s="240"/>
      <c r="AK76" s="240"/>
      <c r="AL76" s="240"/>
      <c r="AM76" s="238"/>
      <c r="AN76" s="240"/>
      <c r="AO76" s="240"/>
      <c r="AP76" s="240"/>
      <c r="AQ76" s="238"/>
      <c r="AR76" s="240"/>
      <c r="AS76" s="240"/>
      <c r="AT76" s="240"/>
      <c r="AU76" s="240"/>
      <c r="AV76" s="240"/>
      <c r="AW76" s="240"/>
      <c r="AX76" s="240"/>
      <c r="AY76" s="240"/>
      <c r="AZ76" s="238"/>
      <c r="BA76" s="240"/>
      <c r="BB76" s="240"/>
      <c r="BC76" s="240"/>
      <c r="BD76" s="240"/>
      <c r="BE76" s="240"/>
      <c r="BF76" s="240"/>
      <c r="BG76" s="240" t="s">
        <v>890</v>
      </c>
      <c r="BH76" s="240"/>
      <c r="BI76" s="240"/>
      <c r="BJ76" s="240"/>
      <c r="BK76" s="240"/>
      <c r="BL76" s="240"/>
      <c r="BM76" s="240"/>
      <c r="BN76" s="240"/>
      <c r="BO76" s="240"/>
      <c r="BP76" s="238"/>
      <c r="BQ76" s="240"/>
      <c r="BR76" s="240"/>
      <c r="BS76" s="240"/>
      <c r="BT76" s="240"/>
      <c r="BU76" s="240"/>
      <c r="BV76" s="240"/>
      <c r="BW76" s="240"/>
      <c r="BX76" s="240"/>
      <c r="BY76" s="240"/>
      <c r="BZ76" s="240"/>
      <c r="CA76" s="240"/>
      <c r="CB76" s="240"/>
      <c r="CC76" s="240"/>
      <c r="CD76" s="240"/>
      <c r="CE76" s="240"/>
      <c r="CF76" s="238"/>
      <c r="CG76" s="240"/>
      <c r="CH76" s="240"/>
      <c r="CI76" s="240"/>
      <c r="CJ76" s="240"/>
      <c r="CK76" s="240"/>
      <c r="CL76" s="240"/>
      <c r="CM76" s="240"/>
      <c r="CN76" s="240"/>
      <c r="CO76" s="240"/>
      <c r="CP76" s="240"/>
      <c r="CQ76" s="240"/>
      <c r="CR76" s="240"/>
      <c r="CS76" s="238"/>
      <c r="CT76" s="240"/>
      <c r="CU76" s="240"/>
      <c r="CV76" s="240"/>
      <c r="CW76" s="240"/>
      <c r="CX76" s="240"/>
      <c r="CY76" s="240"/>
      <c r="CZ76" s="240"/>
      <c r="DA76" s="240"/>
      <c r="DB76" s="240"/>
      <c r="DC76" s="240"/>
      <c r="DD76" s="240"/>
      <c r="DE76" s="240"/>
      <c r="DF76" s="238"/>
      <c r="DG76" s="240"/>
      <c r="DH76" s="240"/>
      <c r="DI76" s="240"/>
      <c r="DJ76" s="240"/>
      <c r="DK76" s="240"/>
      <c r="DL76" s="240"/>
      <c r="DM76" s="240"/>
      <c r="DN76" s="240"/>
      <c r="DO76" s="240"/>
      <c r="DP76" s="240"/>
      <c r="DQ76" s="240"/>
      <c r="DR76" s="238"/>
      <c r="DS76" s="240"/>
      <c r="DT76" s="240"/>
      <c r="DU76" s="240"/>
      <c r="DV76" s="238"/>
      <c r="DW76" s="240"/>
      <c r="DX76" s="240"/>
      <c r="DY76" s="240"/>
      <c r="DZ76" s="240"/>
      <c r="EA76" s="240"/>
      <c r="EB76" s="240"/>
      <c r="EC76" s="240"/>
      <c r="ED76" s="240"/>
      <c r="EE76" s="240"/>
      <c r="EF76" s="238"/>
      <c r="EG76" s="240"/>
      <c r="EH76" s="240"/>
      <c r="EI76" s="240"/>
      <c r="EJ76" s="238"/>
      <c r="EK76" s="240"/>
      <c r="EL76" s="238"/>
      <c r="EM76" s="240"/>
      <c r="EN76" s="240"/>
      <c r="EO76" s="240"/>
      <c r="EP76" s="240"/>
      <c r="EQ76" s="240"/>
      <c r="ER76" s="240"/>
      <c r="ES76" s="240"/>
      <c r="ET76" s="240"/>
      <c r="EU76" s="240"/>
      <c r="EV76" s="240"/>
      <c r="EW76" s="240"/>
      <c r="EX76" s="238"/>
      <c r="EY76" s="240"/>
      <c r="EZ76" s="240"/>
      <c r="FA76" s="240"/>
      <c r="FB76" s="240"/>
      <c r="FC76" s="240"/>
      <c r="FD76" s="240"/>
      <c r="FE76" s="240"/>
      <c r="FF76" s="240"/>
      <c r="FG76" s="240"/>
      <c r="FH76" s="240"/>
      <c r="FI76" s="240"/>
      <c r="FJ76" s="240"/>
      <c r="FK76" s="240"/>
      <c r="FL76" s="240"/>
      <c r="FM76" s="240"/>
      <c r="FN76" s="240"/>
      <c r="FO76" s="238"/>
      <c r="FP76" s="240"/>
      <c r="FQ76" s="240"/>
      <c r="FR76" s="240"/>
      <c r="FS76" s="240"/>
      <c r="FT76" s="240"/>
      <c r="FU76" s="240"/>
      <c r="FV76" s="240"/>
      <c r="FW76" s="240"/>
      <c r="FX76" s="240"/>
      <c r="FY76" s="240"/>
      <c r="FZ76" s="238"/>
      <c r="GA76" s="240"/>
      <c r="GB76" s="240"/>
      <c r="GC76" s="238"/>
      <c r="GD76" s="240"/>
      <c r="GE76" s="240"/>
      <c r="GF76" s="240"/>
      <c r="GG76" s="240"/>
      <c r="GH76" s="238"/>
      <c r="GI76" s="240"/>
      <c r="GJ76" s="240"/>
      <c r="GK76" s="240"/>
      <c r="GL76" s="240"/>
      <c r="GM76" s="238"/>
      <c r="GN76" s="240"/>
      <c r="GO76" s="240"/>
      <c r="GP76" s="240"/>
      <c r="GQ76" s="240"/>
      <c r="GR76" s="240"/>
      <c r="GS76" s="240"/>
      <c r="GT76" s="240"/>
      <c r="GU76" s="240"/>
      <c r="GV76" s="240"/>
      <c r="GW76" s="240"/>
      <c r="GX76" s="240"/>
      <c r="GY76" s="240"/>
      <c r="GZ76" s="240"/>
      <c r="HA76" s="240"/>
      <c r="HB76" s="240"/>
      <c r="HC76" s="240"/>
      <c r="HD76" s="238"/>
      <c r="HE76" s="240"/>
      <c r="HF76" s="240"/>
      <c r="HG76" s="240"/>
      <c r="HH76" s="240"/>
      <c r="HI76" s="240"/>
      <c r="HJ76" s="238"/>
      <c r="HK76" s="240"/>
      <c r="HL76" s="238"/>
      <c r="HM76" s="241"/>
      <c r="HN76" s="235"/>
      <c r="HO76" s="235"/>
      <c r="HP76" s="235"/>
      <c r="HQ76" s="235"/>
    </row>
    <row r="77" spans="2:225" ht="37.5" hidden="1" outlineLevel="3">
      <c r="B77" s="251" t="s">
        <v>1777</v>
      </c>
      <c r="C77" s="252" t="str">
        <f>IF(E75='3. Dropdowns'!C113,"Hide",IF(E66='3. Dropdowns'!C111,"Hide","Show"))</f>
        <v>Show</v>
      </c>
      <c r="D77" s="283" t="s">
        <v>3187</v>
      </c>
      <c r="E77" s="248"/>
      <c r="F77" s="253" t="str">
        <f>IF(E77='3. Dropdowns'!C115,"","Submittals, Products, Execution")</f>
        <v>Submittals, Products, Execution</v>
      </c>
      <c r="G77" s="268"/>
      <c r="H77" s="238"/>
      <c r="I77" s="239" t="s">
        <v>890</v>
      </c>
      <c r="J77" s="240"/>
      <c r="K77" s="240"/>
      <c r="L77" s="240"/>
      <c r="M77" s="240"/>
      <c r="N77" s="240"/>
      <c r="O77" s="240"/>
      <c r="P77" s="240"/>
      <c r="Q77" s="240"/>
      <c r="R77" s="240"/>
      <c r="S77" s="240"/>
      <c r="T77" s="240" t="s">
        <v>890</v>
      </c>
      <c r="U77" s="240"/>
      <c r="V77" s="240"/>
      <c r="W77" s="240"/>
      <c r="X77" s="238"/>
      <c r="Y77" s="240"/>
      <c r="Z77" s="240"/>
      <c r="AA77" s="240"/>
      <c r="AB77" s="240"/>
      <c r="AC77" s="240"/>
      <c r="AD77" s="240"/>
      <c r="AE77" s="240"/>
      <c r="AF77" s="240"/>
      <c r="AG77" s="240"/>
      <c r="AH77" s="238"/>
      <c r="AI77" s="240"/>
      <c r="AJ77" s="240"/>
      <c r="AK77" s="240"/>
      <c r="AL77" s="240"/>
      <c r="AM77" s="238"/>
      <c r="AN77" s="240"/>
      <c r="AO77" s="240"/>
      <c r="AP77" s="240"/>
      <c r="AQ77" s="238"/>
      <c r="AR77" s="240"/>
      <c r="AS77" s="240"/>
      <c r="AT77" s="240"/>
      <c r="AU77" s="240"/>
      <c r="AV77" s="240"/>
      <c r="AW77" s="240"/>
      <c r="AX77" s="240"/>
      <c r="AY77" s="240"/>
      <c r="AZ77" s="238"/>
      <c r="BA77" s="240" t="s">
        <v>890</v>
      </c>
      <c r="BB77" s="240"/>
      <c r="BC77" s="240"/>
      <c r="BD77" s="240"/>
      <c r="BE77" s="240"/>
      <c r="BF77" s="240"/>
      <c r="BG77" s="240"/>
      <c r="BH77" s="240"/>
      <c r="BI77" s="240"/>
      <c r="BJ77" s="240"/>
      <c r="BK77" s="240"/>
      <c r="BL77" s="240"/>
      <c r="BM77" s="240"/>
      <c r="BN77" s="240"/>
      <c r="BO77" s="240"/>
      <c r="BP77" s="238"/>
      <c r="BQ77" s="240"/>
      <c r="BR77" s="240"/>
      <c r="BS77" s="240"/>
      <c r="BT77" s="240"/>
      <c r="BU77" s="240"/>
      <c r="BV77" s="240"/>
      <c r="BW77" s="240"/>
      <c r="BX77" s="240"/>
      <c r="BY77" s="240"/>
      <c r="BZ77" s="240"/>
      <c r="CA77" s="240"/>
      <c r="CB77" s="240"/>
      <c r="CC77" s="240"/>
      <c r="CD77" s="240"/>
      <c r="CE77" s="240"/>
      <c r="CF77" s="238"/>
      <c r="CG77" s="240"/>
      <c r="CH77" s="240"/>
      <c r="CI77" s="240"/>
      <c r="CJ77" s="240"/>
      <c r="CK77" s="240"/>
      <c r="CL77" s="240"/>
      <c r="CM77" s="240"/>
      <c r="CN77" s="240"/>
      <c r="CO77" s="240"/>
      <c r="CP77" s="240"/>
      <c r="CQ77" s="240"/>
      <c r="CR77" s="240"/>
      <c r="CS77" s="238"/>
      <c r="CT77" s="240"/>
      <c r="CU77" s="240"/>
      <c r="CV77" s="240"/>
      <c r="CW77" s="240"/>
      <c r="CX77" s="240"/>
      <c r="CY77" s="240"/>
      <c r="CZ77" s="240"/>
      <c r="DA77" s="240"/>
      <c r="DB77" s="240"/>
      <c r="DC77" s="240"/>
      <c r="DD77" s="240"/>
      <c r="DE77" s="240"/>
      <c r="DF77" s="238"/>
      <c r="DG77" s="240"/>
      <c r="DH77" s="240"/>
      <c r="DI77" s="240"/>
      <c r="DJ77" s="240"/>
      <c r="DK77" s="240"/>
      <c r="DL77" s="240"/>
      <c r="DM77" s="240"/>
      <c r="DN77" s="240"/>
      <c r="DO77" s="240"/>
      <c r="DP77" s="240"/>
      <c r="DQ77" s="240"/>
      <c r="DR77" s="238"/>
      <c r="DS77" s="240"/>
      <c r="DT77" s="240"/>
      <c r="DU77" s="240"/>
      <c r="DV77" s="238"/>
      <c r="DW77" s="240"/>
      <c r="DX77" s="240"/>
      <c r="DY77" s="240"/>
      <c r="DZ77" s="240"/>
      <c r="EA77" s="240"/>
      <c r="EB77" s="240"/>
      <c r="EC77" s="240"/>
      <c r="ED77" s="240"/>
      <c r="EE77" s="240"/>
      <c r="EF77" s="238"/>
      <c r="EG77" s="240"/>
      <c r="EH77" s="240"/>
      <c r="EI77" s="240"/>
      <c r="EJ77" s="238"/>
      <c r="EK77" s="240"/>
      <c r="EL77" s="238"/>
      <c r="EM77" s="240"/>
      <c r="EN77" s="240"/>
      <c r="EO77" s="240"/>
      <c r="EP77" s="240"/>
      <c r="EQ77" s="240"/>
      <c r="ER77" s="240"/>
      <c r="ES77" s="240"/>
      <c r="ET77" s="240"/>
      <c r="EU77" s="240"/>
      <c r="EV77" s="240"/>
      <c r="EW77" s="240"/>
      <c r="EX77" s="238"/>
      <c r="EY77" s="240"/>
      <c r="EZ77" s="240"/>
      <c r="FA77" s="240"/>
      <c r="FB77" s="240"/>
      <c r="FC77" s="240"/>
      <c r="FD77" s="240"/>
      <c r="FE77" s="240"/>
      <c r="FF77" s="240"/>
      <c r="FG77" s="240"/>
      <c r="FH77" s="240"/>
      <c r="FI77" s="240"/>
      <c r="FJ77" s="240"/>
      <c r="FK77" s="240"/>
      <c r="FL77" s="240"/>
      <c r="FM77" s="240"/>
      <c r="FN77" s="240"/>
      <c r="FO77" s="238"/>
      <c r="FP77" s="240"/>
      <c r="FQ77" s="240"/>
      <c r="FR77" s="240"/>
      <c r="FS77" s="240"/>
      <c r="FT77" s="240"/>
      <c r="FU77" s="240"/>
      <c r="FV77" s="240"/>
      <c r="FW77" s="240"/>
      <c r="FX77" s="240"/>
      <c r="FY77" s="240"/>
      <c r="FZ77" s="238"/>
      <c r="GA77" s="240"/>
      <c r="GB77" s="240"/>
      <c r="GC77" s="238"/>
      <c r="GD77" s="240"/>
      <c r="GE77" s="240"/>
      <c r="GF77" s="240"/>
      <c r="GG77" s="240"/>
      <c r="GH77" s="238"/>
      <c r="GI77" s="240"/>
      <c r="GJ77" s="240"/>
      <c r="GK77" s="240"/>
      <c r="GL77" s="240"/>
      <c r="GM77" s="238"/>
      <c r="GN77" s="240"/>
      <c r="GO77" s="240"/>
      <c r="GP77" s="240"/>
      <c r="GQ77" s="240"/>
      <c r="GR77" s="240"/>
      <c r="GS77" s="240"/>
      <c r="GT77" s="240"/>
      <c r="GU77" s="240"/>
      <c r="GV77" s="240"/>
      <c r="GW77" s="240"/>
      <c r="GX77" s="240"/>
      <c r="GY77" s="240"/>
      <c r="GZ77" s="240"/>
      <c r="HA77" s="240"/>
      <c r="HB77" s="240"/>
      <c r="HC77" s="240"/>
      <c r="HD77" s="238"/>
      <c r="HE77" s="240"/>
      <c r="HF77" s="240"/>
      <c r="HG77" s="240"/>
      <c r="HH77" s="240"/>
      <c r="HI77" s="240"/>
      <c r="HJ77" s="238"/>
      <c r="HK77" s="240"/>
      <c r="HL77" s="238"/>
      <c r="HM77" s="241"/>
      <c r="HN77" s="235"/>
      <c r="HO77" s="235"/>
      <c r="HP77" s="235"/>
      <c r="HQ77" s="235"/>
    </row>
    <row r="78" spans="2:225" ht="37.5" hidden="1" outlineLevel="3">
      <c r="B78" s="251" t="s">
        <v>1777</v>
      </c>
      <c r="C78" s="252" t="str">
        <f>IF(E75='3. Dropdowns'!C113,"Hide",IF(E66='3. Dropdowns'!C111,"Hide","Show"))</f>
        <v>Show</v>
      </c>
      <c r="D78" s="283" t="s">
        <v>3188</v>
      </c>
      <c r="E78" s="248"/>
      <c r="F78" s="253" t="str">
        <f>IF(E78='3. Dropdowns'!C115,"","Submittals, Products, Execution")</f>
        <v>Submittals, Products, Execution</v>
      </c>
      <c r="G78" s="268"/>
      <c r="H78" s="238"/>
      <c r="I78" s="239" t="s">
        <v>890</v>
      </c>
      <c r="J78" s="240"/>
      <c r="K78" s="240"/>
      <c r="L78" s="240"/>
      <c r="M78" s="240"/>
      <c r="N78" s="240"/>
      <c r="O78" s="240"/>
      <c r="P78" s="240"/>
      <c r="Q78" s="240"/>
      <c r="R78" s="240"/>
      <c r="S78" s="240"/>
      <c r="T78" s="240" t="s">
        <v>890</v>
      </c>
      <c r="U78" s="240"/>
      <c r="V78" s="240"/>
      <c r="W78" s="240"/>
      <c r="X78" s="238"/>
      <c r="Y78" s="240"/>
      <c r="Z78" s="240"/>
      <c r="AA78" s="240"/>
      <c r="AB78" s="240"/>
      <c r="AC78" s="240"/>
      <c r="AD78" s="240"/>
      <c r="AE78" s="240"/>
      <c r="AF78" s="240"/>
      <c r="AG78" s="240"/>
      <c r="AH78" s="238"/>
      <c r="AI78" s="240"/>
      <c r="AJ78" s="240"/>
      <c r="AK78" s="240"/>
      <c r="AL78" s="240"/>
      <c r="AM78" s="238"/>
      <c r="AN78" s="240"/>
      <c r="AO78" s="240"/>
      <c r="AP78" s="240"/>
      <c r="AQ78" s="238"/>
      <c r="AR78" s="240"/>
      <c r="AS78" s="240"/>
      <c r="AT78" s="240"/>
      <c r="AU78" s="240"/>
      <c r="AV78" s="240"/>
      <c r="AW78" s="240"/>
      <c r="AX78" s="240"/>
      <c r="AY78" s="240"/>
      <c r="AZ78" s="238"/>
      <c r="BA78" s="240" t="s">
        <v>890</v>
      </c>
      <c r="BB78" s="240"/>
      <c r="BC78" s="240"/>
      <c r="BD78" s="240"/>
      <c r="BE78" s="240"/>
      <c r="BF78" s="240"/>
      <c r="BG78" s="240"/>
      <c r="BH78" s="240"/>
      <c r="BI78" s="240" t="s">
        <v>890</v>
      </c>
      <c r="BJ78" s="240"/>
      <c r="BK78" s="240"/>
      <c r="BL78" s="240"/>
      <c r="BM78" s="240"/>
      <c r="BN78" s="240"/>
      <c r="BO78" s="240"/>
      <c r="BP78" s="238"/>
      <c r="BQ78" s="240" t="s">
        <v>890</v>
      </c>
      <c r="BR78" s="240"/>
      <c r="BS78" s="240"/>
      <c r="BT78" s="240"/>
      <c r="BU78" s="240"/>
      <c r="BV78" s="240"/>
      <c r="BW78" s="240" t="s">
        <v>890</v>
      </c>
      <c r="BX78" s="240" t="s">
        <v>890</v>
      </c>
      <c r="BY78" s="240"/>
      <c r="BZ78" s="240"/>
      <c r="CA78" s="240"/>
      <c r="CB78" s="240" t="s">
        <v>890</v>
      </c>
      <c r="CC78" s="240"/>
      <c r="CD78" s="240"/>
      <c r="CE78" s="240"/>
      <c r="CF78" s="238"/>
      <c r="CG78" s="240"/>
      <c r="CH78" s="240"/>
      <c r="CI78" s="240"/>
      <c r="CJ78" s="240"/>
      <c r="CK78" s="240"/>
      <c r="CL78" s="240"/>
      <c r="CM78" s="240"/>
      <c r="CN78" s="240"/>
      <c r="CO78" s="240"/>
      <c r="CP78" s="240"/>
      <c r="CQ78" s="240"/>
      <c r="CR78" s="240"/>
      <c r="CS78" s="238"/>
      <c r="CT78" s="240"/>
      <c r="CU78" s="240"/>
      <c r="CV78" s="240"/>
      <c r="CW78" s="240"/>
      <c r="CX78" s="240"/>
      <c r="CY78" s="240"/>
      <c r="CZ78" s="240"/>
      <c r="DA78" s="240"/>
      <c r="DB78" s="240"/>
      <c r="DC78" s="240"/>
      <c r="DD78" s="240"/>
      <c r="DE78" s="240"/>
      <c r="DF78" s="238"/>
      <c r="DG78" s="240"/>
      <c r="DH78" s="240"/>
      <c r="DI78" s="240"/>
      <c r="DJ78" s="240"/>
      <c r="DK78" s="240"/>
      <c r="DL78" s="240"/>
      <c r="DM78" s="240"/>
      <c r="DN78" s="240"/>
      <c r="DO78" s="240"/>
      <c r="DP78" s="240"/>
      <c r="DQ78" s="240"/>
      <c r="DR78" s="238"/>
      <c r="DS78" s="240"/>
      <c r="DT78" s="240"/>
      <c r="DU78" s="240"/>
      <c r="DV78" s="238"/>
      <c r="DW78" s="240"/>
      <c r="DX78" s="240"/>
      <c r="DY78" s="240"/>
      <c r="DZ78" s="240"/>
      <c r="EA78" s="240"/>
      <c r="EB78" s="240"/>
      <c r="EC78" s="240"/>
      <c r="ED78" s="240"/>
      <c r="EE78" s="240"/>
      <c r="EF78" s="238"/>
      <c r="EG78" s="240"/>
      <c r="EH78" s="240"/>
      <c r="EI78" s="240"/>
      <c r="EJ78" s="238"/>
      <c r="EK78" s="240"/>
      <c r="EL78" s="238"/>
      <c r="EM78" s="240"/>
      <c r="EN78" s="240"/>
      <c r="EO78" s="240"/>
      <c r="EP78" s="240"/>
      <c r="EQ78" s="240"/>
      <c r="ER78" s="240"/>
      <c r="ES78" s="240"/>
      <c r="ET78" s="240"/>
      <c r="EU78" s="240"/>
      <c r="EV78" s="240"/>
      <c r="EW78" s="240"/>
      <c r="EX78" s="238"/>
      <c r="EY78" s="240"/>
      <c r="EZ78" s="240"/>
      <c r="FA78" s="240"/>
      <c r="FB78" s="240"/>
      <c r="FC78" s="240"/>
      <c r="FD78" s="240"/>
      <c r="FE78" s="240"/>
      <c r="FF78" s="240"/>
      <c r="FG78" s="240"/>
      <c r="FH78" s="240"/>
      <c r="FI78" s="240"/>
      <c r="FJ78" s="240"/>
      <c r="FK78" s="240"/>
      <c r="FL78" s="240"/>
      <c r="FM78" s="240"/>
      <c r="FN78" s="240"/>
      <c r="FO78" s="238"/>
      <c r="FP78" s="240"/>
      <c r="FQ78" s="240"/>
      <c r="FR78" s="240"/>
      <c r="FS78" s="240"/>
      <c r="FT78" s="240"/>
      <c r="FU78" s="240"/>
      <c r="FV78" s="240"/>
      <c r="FW78" s="240"/>
      <c r="FX78" s="240"/>
      <c r="FY78" s="240"/>
      <c r="FZ78" s="238"/>
      <c r="GA78" s="240"/>
      <c r="GB78" s="240"/>
      <c r="GC78" s="238"/>
      <c r="GD78" s="240"/>
      <c r="GE78" s="240"/>
      <c r="GF78" s="240"/>
      <c r="GG78" s="240"/>
      <c r="GH78" s="238"/>
      <c r="GI78" s="240"/>
      <c r="GJ78" s="240"/>
      <c r="GK78" s="240"/>
      <c r="GL78" s="240"/>
      <c r="GM78" s="238"/>
      <c r="GN78" s="240"/>
      <c r="GO78" s="240"/>
      <c r="GP78" s="240"/>
      <c r="GQ78" s="240"/>
      <c r="GR78" s="240"/>
      <c r="GS78" s="240"/>
      <c r="GT78" s="240"/>
      <c r="GU78" s="240"/>
      <c r="GV78" s="240"/>
      <c r="GW78" s="240"/>
      <c r="GX78" s="240"/>
      <c r="GY78" s="240"/>
      <c r="GZ78" s="240"/>
      <c r="HA78" s="240"/>
      <c r="HB78" s="240"/>
      <c r="HC78" s="240"/>
      <c r="HD78" s="238"/>
      <c r="HE78" s="240"/>
      <c r="HF78" s="240"/>
      <c r="HG78" s="240"/>
      <c r="HH78" s="240"/>
      <c r="HI78" s="240"/>
      <c r="HJ78" s="238"/>
      <c r="HK78" s="240"/>
      <c r="HL78" s="238"/>
      <c r="HM78" s="241"/>
      <c r="HN78" s="235"/>
      <c r="HO78" s="235"/>
      <c r="HP78" s="235"/>
      <c r="HQ78" s="235"/>
    </row>
    <row r="79" spans="2:225" ht="37.5" hidden="1" outlineLevel="3">
      <c r="B79" s="251" t="s">
        <v>1777</v>
      </c>
      <c r="C79" s="252" t="str">
        <f>IF(E75='3. Dropdowns'!C113,"Hide","Show")</f>
        <v>Show</v>
      </c>
      <c r="D79" s="283" t="s">
        <v>3189</v>
      </c>
      <c r="E79" s="248"/>
      <c r="F79" s="253" t="str">
        <f>IF(E79='3. Dropdowns'!C115,"","Submittals, Products, Execution")</f>
        <v>Submittals, Products, Execution</v>
      </c>
      <c r="G79" s="268"/>
      <c r="H79" s="238"/>
      <c r="I79" s="239" t="s">
        <v>890</v>
      </c>
      <c r="J79" s="240"/>
      <c r="K79" s="240"/>
      <c r="L79" s="240"/>
      <c r="M79" s="240"/>
      <c r="N79" s="240"/>
      <c r="O79" s="240"/>
      <c r="P79" s="240"/>
      <c r="Q79" s="240"/>
      <c r="R79" s="240"/>
      <c r="S79" s="240"/>
      <c r="T79" s="240" t="s">
        <v>890</v>
      </c>
      <c r="U79" s="240"/>
      <c r="V79" s="240"/>
      <c r="W79" s="240"/>
      <c r="X79" s="238"/>
      <c r="Y79" s="240"/>
      <c r="Z79" s="240"/>
      <c r="AA79" s="240"/>
      <c r="AB79" s="240"/>
      <c r="AC79" s="240"/>
      <c r="AD79" s="240"/>
      <c r="AE79" s="240"/>
      <c r="AF79" s="240"/>
      <c r="AG79" s="240"/>
      <c r="AH79" s="238"/>
      <c r="AI79" s="240"/>
      <c r="AJ79" s="240"/>
      <c r="AK79" s="240"/>
      <c r="AL79" s="240"/>
      <c r="AM79" s="238"/>
      <c r="AN79" s="240"/>
      <c r="AO79" s="240"/>
      <c r="AP79" s="240"/>
      <c r="AQ79" s="238"/>
      <c r="AR79" s="240"/>
      <c r="AS79" s="240"/>
      <c r="AT79" s="240"/>
      <c r="AU79" s="240"/>
      <c r="AV79" s="240"/>
      <c r="AW79" s="240"/>
      <c r="AX79" s="240"/>
      <c r="AY79" s="240"/>
      <c r="AZ79" s="238"/>
      <c r="BA79" s="240" t="s">
        <v>890</v>
      </c>
      <c r="BB79" s="240"/>
      <c r="BC79" s="240"/>
      <c r="BD79" s="240"/>
      <c r="BE79" s="240"/>
      <c r="BF79" s="240"/>
      <c r="BG79" s="240"/>
      <c r="BH79" s="240"/>
      <c r="BI79" s="240" t="s">
        <v>890</v>
      </c>
      <c r="BJ79" s="240"/>
      <c r="BK79" s="240"/>
      <c r="BL79" s="240"/>
      <c r="BM79" s="240"/>
      <c r="BN79" s="240"/>
      <c r="BO79" s="240"/>
      <c r="BP79" s="238"/>
      <c r="BQ79" s="240" t="s">
        <v>890</v>
      </c>
      <c r="BR79" s="240"/>
      <c r="BS79" s="240"/>
      <c r="BT79" s="240"/>
      <c r="BU79" s="240"/>
      <c r="BV79" s="240"/>
      <c r="BW79" s="240" t="s">
        <v>890</v>
      </c>
      <c r="BX79" s="240" t="s">
        <v>890</v>
      </c>
      <c r="BY79" s="240"/>
      <c r="BZ79" s="240"/>
      <c r="CA79" s="240"/>
      <c r="CB79" s="240" t="s">
        <v>890</v>
      </c>
      <c r="CC79" s="240"/>
      <c r="CD79" s="240"/>
      <c r="CE79" s="240"/>
      <c r="CF79" s="238"/>
      <c r="CG79" s="240"/>
      <c r="CH79" s="240"/>
      <c r="CI79" s="240"/>
      <c r="CJ79" s="240"/>
      <c r="CK79" s="240"/>
      <c r="CL79" s="240"/>
      <c r="CM79" s="240"/>
      <c r="CN79" s="240"/>
      <c r="CO79" s="240"/>
      <c r="CP79" s="240"/>
      <c r="CQ79" s="240"/>
      <c r="CR79" s="240"/>
      <c r="CS79" s="238"/>
      <c r="CT79" s="240"/>
      <c r="CU79" s="240"/>
      <c r="CV79" s="240"/>
      <c r="CW79" s="240"/>
      <c r="CX79" s="240"/>
      <c r="CY79" s="240"/>
      <c r="CZ79" s="240"/>
      <c r="DA79" s="240"/>
      <c r="DB79" s="240"/>
      <c r="DC79" s="240"/>
      <c r="DD79" s="240"/>
      <c r="DE79" s="240"/>
      <c r="DF79" s="238"/>
      <c r="DG79" s="240"/>
      <c r="DH79" s="240"/>
      <c r="DI79" s="240"/>
      <c r="DJ79" s="240"/>
      <c r="DK79" s="240"/>
      <c r="DL79" s="240"/>
      <c r="DM79" s="240"/>
      <c r="DN79" s="240"/>
      <c r="DO79" s="240"/>
      <c r="DP79" s="240"/>
      <c r="DQ79" s="240"/>
      <c r="DR79" s="238"/>
      <c r="DS79" s="240"/>
      <c r="DT79" s="240"/>
      <c r="DU79" s="240"/>
      <c r="DV79" s="238"/>
      <c r="DW79" s="240"/>
      <c r="DX79" s="240"/>
      <c r="DY79" s="240"/>
      <c r="DZ79" s="240"/>
      <c r="EA79" s="240"/>
      <c r="EB79" s="240"/>
      <c r="EC79" s="240"/>
      <c r="ED79" s="240"/>
      <c r="EE79" s="240"/>
      <c r="EF79" s="238"/>
      <c r="EG79" s="240"/>
      <c r="EH79" s="240"/>
      <c r="EI79" s="240"/>
      <c r="EJ79" s="238"/>
      <c r="EK79" s="240"/>
      <c r="EL79" s="238"/>
      <c r="EM79" s="240"/>
      <c r="EN79" s="240"/>
      <c r="EO79" s="240"/>
      <c r="EP79" s="240"/>
      <c r="EQ79" s="240"/>
      <c r="ER79" s="240"/>
      <c r="ES79" s="240"/>
      <c r="ET79" s="240"/>
      <c r="EU79" s="240"/>
      <c r="EV79" s="240"/>
      <c r="EW79" s="240"/>
      <c r="EX79" s="238"/>
      <c r="EY79" s="240"/>
      <c r="EZ79" s="240"/>
      <c r="FA79" s="240"/>
      <c r="FB79" s="240"/>
      <c r="FC79" s="240"/>
      <c r="FD79" s="240"/>
      <c r="FE79" s="240"/>
      <c r="FF79" s="240"/>
      <c r="FG79" s="240"/>
      <c r="FH79" s="240"/>
      <c r="FI79" s="240"/>
      <c r="FJ79" s="240"/>
      <c r="FK79" s="240"/>
      <c r="FL79" s="240"/>
      <c r="FM79" s="240"/>
      <c r="FN79" s="240"/>
      <c r="FO79" s="238"/>
      <c r="FP79" s="240"/>
      <c r="FQ79" s="240"/>
      <c r="FR79" s="240"/>
      <c r="FS79" s="240"/>
      <c r="FT79" s="240"/>
      <c r="FU79" s="240"/>
      <c r="FV79" s="240"/>
      <c r="FW79" s="240"/>
      <c r="FX79" s="240"/>
      <c r="FY79" s="240"/>
      <c r="FZ79" s="238"/>
      <c r="GA79" s="240"/>
      <c r="GB79" s="240"/>
      <c r="GC79" s="238"/>
      <c r="GD79" s="240"/>
      <c r="GE79" s="240"/>
      <c r="GF79" s="240"/>
      <c r="GG79" s="240"/>
      <c r="GH79" s="238"/>
      <c r="GI79" s="240"/>
      <c r="GJ79" s="240"/>
      <c r="GK79" s="240"/>
      <c r="GL79" s="240"/>
      <c r="GM79" s="238"/>
      <c r="GN79" s="240"/>
      <c r="GO79" s="240"/>
      <c r="GP79" s="240"/>
      <c r="GQ79" s="240"/>
      <c r="GR79" s="240"/>
      <c r="GS79" s="240"/>
      <c r="GT79" s="240"/>
      <c r="GU79" s="240"/>
      <c r="GV79" s="240"/>
      <c r="GW79" s="240"/>
      <c r="GX79" s="240"/>
      <c r="GY79" s="240"/>
      <c r="GZ79" s="240"/>
      <c r="HA79" s="240"/>
      <c r="HB79" s="240"/>
      <c r="HC79" s="240"/>
      <c r="HD79" s="238"/>
      <c r="HE79" s="240"/>
      <c r="HF79" s="240"/>
      <c r="HG79" s="240"/>
      <c r="HH79" s="240"/>
      <c r="HI79" s="240"/>
      <c r="HJ79" s="238"/>
      <c r="HK79" s="240"/>
      <c r="HL79" s="238"/>
      <c r="HM79" s="241"/>
      <c r="HN79" s="235"/>
      <c r="HO79" s="235"/>
      <c r="HP79" s="235"/>
      <c r="HQ79" s="235"/>
    </row>
    <row r="80" spans="2:225" ht="37.5" hidden="1" outlineLevel="3">
      <c r="B80" s="251" t="s">
        <v>1777</v>
      </c>
      <c r="C80" s="252" t="str">
        <f>IF(E75='3. Dropdowns'!C113,"Hide",IF(E66='3. Dropdowns'!C111,"Hide","Show"))</f>
        <v>Show</v>
      </c>
      <c r="D80" s="283" t="s">
        <v>3190</v>
      </c>
      <c r="E80" s="248"/>
      <c r="F80" s="253" t="str">
        <f>IF(E80='3. Dropdowns'!C115,"","Submittals, Products, Execution")</f>
        <v>Submittals, Products, Execution</v>
      </c>
      <c r="G80" s="268"/>
      <c r="H80" s="238"/>
      <c r="I80" s="239" t="s">
        <v>890</v>
      </c>
      <c r="J80" s="240"/>
      <c r="K80" s="240"/>
      <c r="L80" s="240"/>
      <c r="M80" s="240"/>
      <c r="N80" s="240"/>
      <c r="O80" s="240"/>
      <c r="P80" s="240"/>
      <c r="Q80" s="240"/>
      <c r="R80" s="240"/>
      <c r="S80" s="240"/>
      <c r="T80" s="240" t="s">
        <v>890</v>
      </c>
      <c r="U80" s="240"/>
      <c r="V80" s="240"/>
      <c r="W80" s="240"/>
      <c r="X80" s="238"/>
      <c r="Y80" s="240"/>
      <c r="Z80" s="240"/>
      <c r="AA80" s="240"/>
      <c r="AB80" s="240"/>
      <c r="AC80" s="240"/>
      <c r="AD80" s="240"/>
      <c r="AE80" s="240"/>
      <c r="AF80" s="240"/>
      <c r="AG80" s="240"/>
      <c r="AH80" s="238"/>
      <c r="AI80" s="240"/>
      <c r="AJ80" s="240"/>
      <c r="AK80" s="240"/>
      <c r="AL80" s="240"/>
      <c r="AM80" s="238"/>
      <c r="AN80" s="240"/>
      <c r="AO80" s="240"/>
      <c r="AP80" s="240"/>
      <c r="AQ80" s="238"/>
      <c r="AR80" s="240"/>
      <c r="AS80" s="240"/>
      <c r="AT80" s="240"/>
      <c r="AU80" s="240"/>
      <c r="AV80" s="240"/>
      <c r="AW80" s="240"/>
      <c r="AX80" s="240"/>
      <c r="AY80" s="240"/>
      <c r="AZ80" s="238"/>
      <c r="BA80" s="240"/>
      <c r="BB80" s="240"/>
      <c r="BC80" s="240"/>
      <c r="BD80" s="240"/>
      <c r="BE80" s="240"/>
      <c r="BF80" s="240"/>
      <c r="BG80" s="240"/>
      <c r="BH80" s="240"/>
      <c r="BI80" s="240" t="s">
        <v>890</v>
      </c>
      <c r="BJ80" s="240"/>
      <c r="BK80" s="240"/>
      <c r="BL80" s="240"/>
      <c r="BM80" s="240"/>
      <c r="BN80" s="240"/>
      <c r="BO80" s="240"/>
      <c r="BP80" s="238"/>
      <c r="BQ80" s="240" t="s">
        <v>890</v>
      </c>
      <c r="BR80" s="240"/>
      <c r="BS80" s="240"/>
      <c r="BT80" s="240"/>
      <c r="BU80" s="240"/>
      <c r="BV80" s="240"/>
      <c r="BW80" s="240" t="s">
        <v>890</v>
      </c>
      <c r="BX80" s="240" t="s">
        <v>890</v>
      </c>
      <c r="BY80" s="240"/>
      <c r="BZ80" s="240"/>
      <c r="CA80" s="240"/>
      <c r="CB80" s="240"/>
      <c r="CC80" s="240"/>
      <c r="CD80" s="240"/>
      <c r="CE80" s="240"/>
      <c r="CF80" s="238"/>
      <c r="CG80" s="240"/>
      <c r="CH80" s="240"/>
      <c r="CI80" s="240"/>
      <c r="CJ80" s="240"/>
      <c r="CK80" s="240"/>
      <c r="CL80" s="240"/>
      <c r="CM80" s="240"/>
      <c r="CN80" s="240"/>
      <c r="CO80" s="240"/>
      <c r="CP80" s="240"/>
      <c r="CQ80" s="240"/>
      <c r="CR80" s="240"/>
      <c r="CS80" s="238"/>
      <c r="CT80" s="240"/>
      <c r="CU80" s="240"/>
      <c r="CV80" s="240"/>
      <c r="CW80" s="240"/>
      <c r="CX80" s="240"/>
      <c r="CY80" s="240"/>
      <c r="CZ80" s="240"/>
      <c r="DA80" s="240"/>
      <c r="DB80" s="240"/>
      <c r="DC80" s="240"/>
      <c r="DD80" s="240"/>
      <c r="DE80" s="240"/>
      <c r="DF80" s="238"/>
      <c r="DG80" s="240"/>
      <c r="DH80" s="240"/>
      <c r="DI80" s="240"/>
      <c r="DJ80" s="240"/>
      <c r="DK80" s="240"/>
      <c r="DL80" s="240"/>
      <c r="DM80" s="240"/>
      <c r="DN80" s="240"/>
      <c r="DO80" s="240"/>
      <c r="DP80" s="240"/>
      <c r="DQ80" s="240"/>
      <c r="DR80" s="238"/>
      <c r="DS80" s="240"/>
      <c r="DT80" s="240"/>
      <c r="DU80" s="240"/>
      <c r="DV80" s="238"/>
      <c r="DW80" s="240"/>
      <c r="DX80" s="240"/>
      <c r="DY80" s="240"/>
      <c r="DZ80" s="240"/>
      <c r="EA80" s="240"/>
      <c r="EB80" s="240"/>
      <c r="EC80" s="240"/>
      <c r="ED80" s="240"/>
      <c r="EE80" s="240"/>
      <c r="EF80" s="238"/>
      <c r="EG80" s="240"/>
      <c r="EH80" s="240"/>
      <c r="EI80" s="240"/>
      <c r="EJ80" s="238"/>
      <c r="EK80" s="240"/>
      <c r="EL80" s="238"/>
      <c r="EM80" s="240"/>
      <c r="EN80" s="240"/>
      <c r="EO80" s="240"/>
      <c r="EP80" s="240"/>
      <c r="EQ80" s="240"/>
      <c r="ER80" s="240"/>
      <c r="ES80" s="240"/>
      <c r="ET80" s="240"/>
      <c r="EU80" s="240"/>
      <c r="EV80" s="240"/>
      <c r="EW80" s="240"/>
      <c r="EX80" s="238"/>
      <c r="EY80" s="240"/>
      <c r="EZ80" s="240"/>
      <c r="FA80" s="240"/>
      <c r="FB80" s="240"/>
      <c r="FC80" s="240"/>
      <c r="FD80" s="240"/>
      <c r="FE80" s="240"/>
      <c r="FF80" s="240"/>
      <c r="FG80" s="240"/>
      <c r="FH80" s="240"/>
      <c r="FI80" s="240"/>
      <c r="FJ80" s="240"/>
      <c r="FK80" s="240"/>
      <c r="FL80" s="240"/>
      <c r="FM80" s="240"/>
      <c r="FN80" s="240"/>
      <c r="FO80" s="238"/>
      <c r="FP80" s="240"/>
      <c r="FQ80" s="240"/>
      <c r="FR80" s="240"/>
      <c r="FS80" s="240"/>
      <c r="FT80" s="240"/>
      <c r="FU80" s="240"/>
      <c r="FV80" s="240"/>
      <c r="FW80" s="240"/>
      <c r="FX80" s="240"/>
      <c r="FY80" s="240"/>
      <c r="FZ80" s="238"/>
      <c r="GA80" s="240"/>
      <c r="GB80" s="240"/>
      <c r="GC80" s="238"/>
      <c r="GD80" s="240"/>
      <c r="GE80" s="240"/>
      <c r="GF80" s="240"/>
      <c r="GG80" s="240"/>
      <c r="GH80" s="238"/>
      <c r="GI80" s="240"/>
      <c r="GJ80" s="240"/>
      <c r="GK80" s="240"/>
      <c r="GL80" s="240"/>
      <c r="GM80" s="238"/>
      <c r="GN80" s="240"/>
      <c r="GO80" s="240"/>
      <c r="GP80" s="240"/>
      <c r="GQ80" s="240"/>
      <c r="GR80" s="240"/>
      <c r="GS80" s="240"/>
      <c r="GT80" s="240"/>
      <c r="GU80" s="240"/>
      <c r="GV80" s="240"/>
      <c r="GW80" s="240"/>
      <c r="GX80" s="240"/>
      <c r="GY80" s="240"/>
      <c r="GZ80" s="240"/>
      <c r="HA80" s="240"/>
      <c r="HB80" s="240"/>
      <c r="HC80" s="240"/>
      <c r="HD80" s="238"/>
      <c r="HE80" s="240"/>
      <c r="HF80" s="240"/>
      <c r="HG80" s="240"/>
      <c r="HH80" s="240"/>
      <c r="HI80" s="240"/>
      <c r="HJ80" s="238"/>
      <c r="HK80" s="240"/>
      <c r="HL80" s="238"/>
      <c r="HM80" s="241"/>
      <c r="HN80" s="235"/>
      <c r="HO80" s="235"/>
      <c r="HP80" s="235"/>
      <c r="HQ80" s="235"/>
    </row>
    <row r="81" spans="2:225" ht="37.5" hidden="1" outlineLevel="3">
      <c r="B81" s="251" t="s">
        <v>1777</v>
      </c>
      <c r="C81" s="252" t="str">
        <f>IF(E75='3. Dropdowns'!C113,"Hide",IF(E66='3. Dropdowns'!C111,"Hide","Show"))</f>
        <v>Show</v>
      </c>
      <c r="D81" s="283" t="s">
        <v>3191</v>
      </c>
      <c r="E81" s="248"/>
      <c r="F81" s="253" t="str">
        <f>IF(E81='3. Dropdowns'!C115,"","Submittals, Products")</f>
        <v>Submittals, Products</v>
      </c>
      <c r="G81" s="268"/>
      <c r="H81" s="238"/>
      <c r="I81" s="239" t="s">
        <v>890</v>
      </c>
      <c r="J81" s="240"/>
      <c r="K81" s="240"/>
      <c r="L81" s="240"/>
      <c r="M81" s="240"/>
      <c r="N81" s="240"/>
      <c r="O81" s="240"/>
      <c r="P81" s="240"/>
      <c r="Q81" s="240"/>
      <c r="R81" s="240"/>
      <c r="S81" s="240"/>
      <c r="T81" s="240" t="s">
        <v>890</v>
      </c>
      <c r="U81" s="240"/>
      <c r="V81" s="240"/>
      <c r="W81" s="240"/>
      <c r="X81" s="238"/>
      <c r="Y81" s="240"/>
      <c r="Z81" s="240"/>
      <c r="AA81" s="240"/>
      <c r="AB81" s="240"/>
      <c r="AC81" s="240"/>
      <c r="AD81" s="240"/>
      <c r="AE81" s="240"/>
      <c r="AF81" s="240"/>
      <c r="AG81" s="240"/>
      <c r="AH81" s="238"/>
      <c r="AI81" s="240"/>
      <c r="AJ81" s="240"/>
      <c r="AK81" s="240"/>
      <c r="AL81" s="240"/>
      <c r="AM81" s="238"/>
      <c r="AN81" s="240"/>
      <c r="AO81" s="240"/>
      <c r="AP81" s="240"/>
      <c r="AQ81" s="238"/>
      <c r="AR81" s="240"/>
      <c r="AS81" s="240"/>
      <c r="AT81" s="240"/>
      <c r="AU81" s="240"/>
      <c r="AV81" s="240"/>
      <c r="AW81" s="240"/>
      <c r="AX81" s="240"/>
      <c r="AY81" s="240"/>
      <c r="AZ81" s="238"/>
      <c r="BA81" s="240" t="s">
        <v>890</v>
      </c>
      <c r="BB81" s="240"/>
      <c r="BC81" s="240"/>
      <c r="BD81" s="240"/>
      <c r="BE81" s="240"/>
      <c r="BF81" s="240"/>
      <c r="BG81" s="240"/>
      <c r="BH81" s="240"/>
      <c r="BI81" s="240"/>
      <c r="BJ81" s="240"/>
      <c r="BK81" s="240"/>
      <c r="BL81" s="240"/>
      <c r="BM81" s="240"/>
      <c r="BN81" s="240"/>
      <c r="BO81" s="240"/>
      <c r="BP81" s="238"/>
      <c r="BQ81" s="240"/>
      <c r="BR81" s="240"/>
      <c r="BS81" s="240"/>
      <c r="BT81" s="240"/>
      <c r="BU81" s="240"/>
      <c r="BV81" s="240"/>
      <c r="BW81" s="240"/>
      <c r="BX81" s="240"/>
      <c r="BY81" s="240"/>
      <c r="BZ81" s="240"/>
      <c r="CA81" s="240"/>
      <c r="CB81" s="240"/>
      <c r="CC81" s="240"/>
      <c r="CD81" s="240"/>
      <c r="CE81" s="240"/>
      <c r="CF81" s="238"/>
      <c r="CG81" s="240"/>
      <c r="CH81" s="240"/>
      <c r="CI81" s="240"/>
      <c r="CJ81" s="240"/>
      <c r="CK81" s="240"/>
      <c r="CL81" s="240"/>
      <c r="CM81" s="240"/>
      <c r="CN81" s="240"/>
      <c r="CO81" s="240"/>
      <c r="CP81" s="240"/>
      <c r="CQ81" s="240"/>
      <c r="CR81" s="240"/>
      <c r="CS81" s="238"/>
      <c r="CT81" s="240"/>
      <c r="CU81" s="240"/>
      <c r="CV81" s="240"/>
      <c r="CW81" s="240"/>
      <c r="CX81" s="240"/>
      <c r="CY81" s="240"/>
      <c r="CZ81" s="240"/>
      <c r="DA81" s="240"/>
      <c r="DB81" s="240"/>
      <c r="DC81" s="240"/>
      <c r="DD81" s="240"/>
      <c r="DE81" s="240"/>
      <c r="DF81" s="238"/>
      <c r="DG81" s="240"/>
      <c r="DH81" s="240"/>
      <c r="DI81" s="240"/>
      <c r="DJ81" s="240"/>
      <c r="DK81" s="240"/>
      <c r="DL81" s="240"/>
      <c r="DM81" s="240"/>
      <c r="DN81" s="240"/>
      <c r="DO81" s="240"/>
      <c r="DP81" s="240"/>
      <c r="DQ81" s="240"/>
      <c r="DR81" s="238"/>
      <c r="DS81" s="240"/>
      <c r="DT81" s="240"/>
      <c r="DU81" s="240"/>
      <c r="DV81" s="238"/>
      <c r="DW81" s="240"/>
      <c r="DX81" s="240"/>
      <c r="DY81" s="240"/>
      <c r="DZ81" s="240"/>
      <c r="EA81" s="240"/>
      <c r="EB81" s="240"/>
      <c r="EC81" s="240"/>
      <c r="ED81" s="240"/>
      <c r="EE81" s="240"/>
      <c r="EF81" s="238"/>
      <c r="EG81" s="240"/>
      <c r="EH81" s="240"/>
      <c r="EI81" s="240"/>
      <c r="EJ81" s="238"/>
      <c r="EK81" s="240"/>
      <c r="EL81" s="238"/>
      <c r="EM81" s="240"/>
      <c r="EN81" s="240"/>
      <c r="EO81" s="240"/>
      <c r="EP81" s="240"/>
      <c r="EQ81" s="240"/>
      <c r="ER81" s="240"/>
      <c r="ES81" s="240"/>
      <c r="ET81" s="240"/>
      <c r="EU81" s="240"/>
      <c r="EV81" s="240"/>
      <c r="EW81" s="240"/>
      <c r="EX81" s="238"/>
      <c r="EY81" s="240"/>
      <c r="EZ81" s="240"/>
      <c r="FA81" s="240"/>
      <c r="FB81" s="240"/>
      <c r="FC81" s="240"/>
      <c r="FD81" s="240"/>
      <c r="FE81" s="240"/>
      <c r="FF81" s="240"/>
      <c r="FG81" s="240"/>
      <c r="FH81" s="240"/>
      <c r="FI81" s="240"/>
      <c r="FJ81" s="240"/>
      <c r="FK81" s="240"/>
      <c r="FL81" s="240"/>
      <c r="FM81" s="240"/>
      <c r="FN81" s="240"/>
      <c r="FO81" s="238"/>
      <c r="FP81" s="240"/>
      <c r="FQ81" s="240"/>
      <c r="FR81" s="240"/>
      <c r="FS81" s="240"/>
      <c r="FT81" s="240"/>
      <c r="FU81" s="240"/>
      <c r="FV81" s="240"/>
      <c r="FW81" s="240"/>
      <c r="FX81" s="240"/>
      <c r="FY81" s="240"/>
      <c r="FZ81" s="238"/>
      <c r="GA81" s="240"/>
      <c r="GB81" s="240"/>
      <c r="GC81" s="238"/>
      <c r="GD81" s="240"/>
      <c r="GE81" s="240"/>
      <c r="GF81" s="240"/>
      <c r="GG81" s="240"/>
      <c r="GH81" s="238"/>
      <c r="GI81" s="240"/>
      <c r="GJ81" s="240"/>
      <c r="GK81" s="240"/>
      <c r="GL81" s="240"/>
      <c r="GM81" s="238"/>
      <c r="GN81" s="240"/>
      <c r="GO81" s="240"/>
      <c r="GP81" s="240"/>
      <c r="GQ81" s="240"/>
      <c r="GR81" s="240"/>
      <c r="GS81" s="240"/>
      <c r="GT81" s="240"/>
      <c r="GU81" s="240"/>
      <c r="GV81" s="240"/>
      <c r="GW81" s="240"/>
      <c r="GX81" s="240"/>
      <c r="GY81" s="240"/>
      <c r="GZ81" s="240"/>
      <c r="HA81" s="240"/>
      <c r="HB81" s="240"/>
      <c r="HC81" s="240"/>
      <c r="HD81" s="238"/>
      <c r="HE81" s="240"/>
      <c r="HF81" s="240"/>
      <c r="HG81" s="240"/>
      <c r="HH81" s="240"/>
      <c r="HI81" s="240"/>
      <c r="HJ81" s="238"/>
      <c r="HK81" s="240"/>
      <c r="HL81" s="238"/>
      <c r="HM81" s="241"/>
      <c r="HN81" s="235"/>
      <c r="HO81" s="235"/>
      <c r="HP81" s="235"/>
      <c r="HQ81" s="235"/>
    </row>
    <row r="82" spans="2:225" ht="37.5" hidden="1" outlineLevel="3">
      <c r="B82" s="251" t="s">
        <v>1777</v>
      </c>
      <c r="C82" s="252" t="str">
        <f>IF(E75='3. Dropdowns'!C113,"Hide",IF(E66='3. Dropdowns'!C111,"Hide","Show"))</f>
        <v>Show</v>
      </c>
      <c r="D82" s="283" t="s">
        <v>3192</v>
      </c>
      <c r="E82" s="248"/>
      <c r="F82" s="253" t="str">
        <f>IF(E82='3. Dropdowns'!C115,"","Submittals, Products")</f>
        <v>Submittals, Products</v>
      </c>
      <c r="G82" s="268"/>
      <c r="H82" s="238"/>
      <c r="I82" s="239" t="s">
        <v>890</v>
      </c>
      <c r="J82" s="240"/>
      <c r="K82" s="240"/>
      <c r="L82" s="240"/>
      <c r="M82" s="240"/>
      <c r="N82" s="240"/>
      <c r="O82" s="240"/>
      <c r="P82" s="240"/>
      <c r="Q82" s="240"/>
      <c r="R82" s="240"/>
      <c r="S82" s="240"/>
      <c r="T82" s="240" t="s">
        <v>890</v>
      </c>
      <c r="U82" s="240"/>
      <c r="V82" s="240"/>
      <c r="W82" s="240"/>
      <c r="X82" s="238"/>
      <c r="Y82" s="240"/>
      <c r="Z82" s="240"/>
      <c r="AA82" s="240"/>
      <c r="AB82" s="240"/>
      <c r="AC82" s="240"/>
      <c r="AD82" s="240"/>
      <c r="AE82" s="240"/>
      <c r="AF82" s="240"/>
      <c r="AG82" s="240"/>
      <c r="AH82" s="238"/>
      <c r="AI82" s="240"/>
      <c r="AJ82" s="240"/>
      <c r="AK82" s="240"/>
      <c r="AL82" s="240"/>
      <c r="AM82" s="238"/>
      <c r="AN82" s="240"/>
      <c r="AO82" s="240"/>
      <c r="AP82" s="240"/>
      <c r="AQ82" s="238"/>
      <c r="AR82" s="240"/>
      <c r="AS82" s="240"/>
      <c r="AT82" s="240"/>
      <c r="AU82" s="240"/>
      <c r="AV82" s="240"/>
      <c r="AW82" s="240"/>
      <c r="AX82" s="240"/>
      <c r="AY82" s="240"/>
      <c r="AZ82" s="238"/>
      <c r="BA82" s="240" t="s">
        <v>890</v>
      </c>
      <c r="BB82" s="240"/>
      <c r="BC82" s="240"/>
      <c r="BD82" s="240"/>
      <c r="BE82" s="240"/>
      <c r="BF82" s="240"/>
      <c r="BG82" s="240"/>
      <c r="BH82" s="240"/>
      <c r="BI82" s="240"/>
      <c r="BJ82" s="240"/>
      <c r="BK82" s="240"/>
      <c r="BL82" s="240"/>
      <c r="BM82" s="240"/>
      <c r="BN82" s="240"/>
      <c r="BO82" s="240"/>
      <c r="BP82" s="238"/>
      <c r="BQ82" s="240"/>
      <c r="BR82" s="240"/>
      <c r="BS82" s="240"/>
      <c r="BT82" s="240"/>
      <c r="BU82" s="240"/>
      <c r="BV82" s="240"/>
      <c r="BW82" s="240"/>
      <c r="BX82" s="240"/>
      <c r="BY82" s="240"/>
      <c r="BZ82" s="240"/>
      <c r="CA82" s="240"/>
      <c r="CB82" s="240"/>
      <c r="CC82" s="240"/>
      <c r="CD82" s="240"/>
      <c r="CE82" s="240"/>
      <c r="CF82" s="238"/>
      <c r="CG82" s="240"/>
      <c r="CH82" s="240"/>
      <c r="CI82" s="240"/>
      <c r="CJ82" s="240"/>
      <c r="CK82" s="240"/>
      <c r="CL82" s="240"/>
      <c r="CM82" s="240"/>
      <c r="CN82" s="240"/>
      <c r="CO82" s="240"/>
      <c r="CP82" s="240"/>
      <c r="CQ82" s="240"/>
      <c r="CR82" s="240"/>
      <c r="CS82" s="238"/>
      <c r="CT82" s="240"/>
      <c r="CU82" s="240"/>
      <c r="CV82" s="240"/>
      <c r="CW82" s="240"/>
      <c r="CX82" s="240"/>
      <c r="CY82" s="240"/>
      <c r="CZ82" s="240"/>
      <c r="DA82" s="240"/>
      <c r="DB82" s="240"/>
      <c r="DC82" s="240"/>
      <c r="DD82" s="240"/>
      <c r="DE82" s="240"/>
      <c r="DF82" s="238"/>
      <c r="DG82" s="240"/>
      <c r="DH82" s="240"/>
      <c r="DI82" s="240"/>
      <c r="DJ82" s="240"/>
      <c r="DK82" s="240"/>
      <c r="DL82" s="240"/>
      <c r="DM82" s="240"/>
      <c r="DN82" s="240"/>
      <c r="DO82" s="240"/>
      <c r="DP82" s="240"/>
      <c r="DQ82" s="240"/>
      <c r="DR82" s="238"/>
      <c r="DS82" s="240"/>
      <c r="DT82" s="240"/>
      <c r="DU82" s="240"/>
      <c r="DV82" s="238"/>
      <c r="DW82" s="240"/>
      <c r="DX82" s="240"/>
      <c r="DY82" s="240"/>
      <c r="DZ82" s="240"/>
      <c r="EA82" s="240"/>
      <c r="EB82" s="240"/>
      <c r="EC82" s="240"/>
      <c r="ED82" s="240"/>
      <c r="EE82" s="240"/>
      <c r="EF82" s="238"/>
      <c r="EG82" s="240"/>
      <c r="EH82" s="240"/>
      <c r="EI82" s="240"/>
      <c r="EJ82" s="238"/>
      <c r="EK82" s="240"/>
      <c r="EL82" s="238"/>
      <c r="EM82" s="240"/>
      <c r="EN82" s="240"/>
      <c r="EO82" s="240"/>
      <c r="EP82" s="240"/>
      <c r="EQ82" s="240"/>
      <c r="ER82" s="240"/>
      <c r="ES82" s="240"/>
      <c r="ET82" s="240"/>
      <c r="EU82" s="240"/>
      <c r="EV82" s="240"/>
      <c r="EW82" s="240"/>
      <c r="EX82" s="238"/>
      <c r="EY82" s="240"/>
      <c r="EZ82" s="240"/>
      <c r="FA82" s="240"/>
      <c r="FB82" s="240"/>
      <c r="FC82" s="240"/>
      <c r="FD82" s="240"/>
      <c r="FE82" s="240"/>
      <c r="FF82" s="240"/>
      <c r="FG82" s="240"/>
      <c r="FH82" s="240"/>
      <c r="FI82" s="240"/>
      <c r="FJ82" s="240"/>
      <c r="FK82" s="240"/>
      <c r="FL82" s="240"/>
      <c r="FM82" s="240"/>
      <c r="FN82" s="240"/>
      <c r="FO82" s="238"/>
      <c r="FP82" s="240"/>
      <c r="FQ82" s="240"/>
      <c r="FR82" s="240"/>
      <c r="FS82" s="240"/>
      <c r="FT82" s="240"/>
      <c r="FU82" s="240"/>
      <c r="FV82" s="240"/>
      <c r="FW82" s="240"/>
      <c r="FX82" s="240"/>
      <c r="FY82" s="240"/>
      <c r="FZ82" s="238"/>
      <c r="GA82" s="240"/>
      <c r="GB82" s="240"/>
      <c r="GC82" s="238"/>
      <c r="GD82" s="240"/>
      <c r="GE82" s="240"/>
      <c r="GF82" s="240"/>
      <c r="GG82" s="240"/>
      <c r="GH82" s="238"/>
      <c r="GI82" s="240"/>
      <c r="GJ82" s="240"/>
      <c r="GK82" s="240"/>
      <c r="GL82" s="240"/>
      <c r="GM82" s="238"/>
      <c r="GN82" s="240"/>
      <c r="GO82" s="240"/>
      <c r="GP82" s="240"/>
      <c r="GQ82" s="240"/>
      <c r="GR82" s="240"/>
      <c r="GS82" s="240"/>
      <c r="GT82" s="240"/>
      <c r="GU82" s="240"/>
      <c r="GV82" s="240"/>
      <c r="GW82" s="240"/>
      <c r="GX82" s="240"/>
      <c r="GY82" s="240"/>
      <c r="GZ82" s="240"/>
      <c r="HA82" s="240"/>
      <c r="HB82" s="240"/>
      <c r="HC82" s="240"/>
      <c r="HD82" s="238"/>
      <c r="HE82" s="240"/>
      <c r="HF82" s="240"/>
      <c r="HG82" s="240"/>
      <c r="HH82" s="240"/>
      <c r="HI82" s="240"/>
      <c r="HJ82" s="238"/>
      <c r="HK82" s="240"/>
      <c r="HL82" s="238"/>
      <c r="HM82" s="241"/>
      <c r="HN82" s="235"/>
      <c r="HO82" s="235"/>
      <c r="HP82" s="235"/>
      <c r="HQ82" s="235"/>
    </row>
    <row r="83" spans="2:225" ht="37.5" hidden="1" outlineLevel="3">
      <c r="B83" s="251" t="s">
        <v>1777</v>
      </c>
      <c r="C83" s="252" t="str">
        <f>IF(E75='3. Dropdowns'!C113,"Hide",IF(E66='3. Dropdowns'!C111,"Hide","Show"))</f>
        <v>Show</v>
      </c>
      <c r="D83" s="283" t="s">
        <v>3193</v>
      </c>
      <c r="E83" s="248"/>
      <c r="F83" s="253" t="str">
        <f>IF(E83='3. Dropdowns'!C115,"","Execution")</f>
        <v>Execution</v>
      </c>
      <c r="G83" s="268"/>
      <c r="H83" s="238"/>
      <c r="I83" s="239" t="s">
        <v>890</v>
      </c>
      <c r="J83" s="240"/>
      <c r="K83" s="240"/>
      <c r="L83" s="240"/>
      <c r="M83" s="240"/>
      <c r="N83" s="240"/>
      <c r="O83" s="240"/>
      <c r="P83" s="240"/>
      <c r="Q83" s="240"/>
      <c r="R83" s="240"/>
      <c r="S83" s="240"/>
      <c r="T83" s="240" t="s">
        <v>890</v>
      </c>
      <c r="U83" s="240"/>
      <c r="V83" s="240"/>
      <c r="W83" s="240"/>
      <c r="X83" s="238"/>
      <c r="Y83" s="240"/>
      <c r="Z83" s="240"/>
      <c r="AA83" s="240"/>
      <c r="AB83" s="240"/>
      <c r="AC83" s="240"/>
      <c r="AD83" s="240"/>
      <c r="AE83" s="240"/>
      <c r="AF83" s="240"/>
      <c r="AG83" s="240"/>
      <c r="AH83" s="238"/>
      <c r="AI83" s="240"/>
      <c r="AJ83" s="240"/>
      <c r="AK83" s="240"/>
      <c r="AL83" s="240"/>
      <c r="AM83" s="238"/>
      <c r="AN83" s="240"/>
      <c r="AO83" s="240"/>
      <c r="AP83" s="240"/>
      <c r="AQ83" s="238"/>
      <c r="AR83" s="240"/>
      <c r="AS83" s="240"/>
      <c r="AT83" s="240"/>
      <c r="AU83" s="240"/>
      <c r="AV83" s="240"/>
      <c r="AW83" s="240"/>
      <c r="AX83" s="240"/>
      <c r="AY83" s="240"/>
      <c r="AZ83" s="238"/>
      <c r="BA83" s="240" t="s">
        <v>890</v>
      </c>
      <c r="BB83" s="240"/>
      <c r="BC83" s="240"/>
      <c r="BD83" s="240"/>
      <c r="BE83" s="240"/>
      <c r="BF83" s="240"/>
      <c r="BG83" s="240"/>
      <c r="BH83" s="240"/>
      <c r="BI83" s="240"/>
      <c r="BJ83" s="240"/>
      <c r="BK83" s="240"/>
      <c r="BL83" s="240"/>
      <c r="BM83" s="240"/>
      <c r="BN83" s="240"/>
      <c r="BO83" s="240"/>
      <c r="BP83" s="238"/>
      <c r="BQ83" s="240"/>
      <c r="BR83" s="240"/>
      <c r="BS83" s="240"/>
      <c r="BT83" s="240"/>
      <c r="BU83" s="240"/>
      <c r="BV83" s="240"/>
      <c r="BW83" s="240"/>
      <c r="BX83" s="240"/>
      <c r="BY83" s="240"/>
      <c r="BZ83" s="240"/>
      <c r="CA83" s="240"/>
      <c r="CB83" s="240"/>
      <c r="CC83" s="240"/>
      <c r="CD83" s="240"/>
      <c r="CE83" s="240"/>
      <c r="CF83" s="238"/>
      <c r="CG83" s="240"/>
      <c r="CH83" s="240"/>
      <c r="CI83" s="240"/>
      <c r="CJ83" s="240"/>
      <c r="CK83" s="240"/>
      <c r="CL83" s="240"/>
      <c r="CM83" s="240"/>
      <c r="CN83" s="240"/>
      <c r="CO83" s="240"/>
      <c r="CP83" s="240"/>
      <c r="CQ83" s="240"/>
      <c r="CR83" s="240"/>
      <c r="CS83" s="238"/>
      <c r="CT83" s="240"/>
      <c r="CU83" s="240"/>
      <c r="CV83" s="240"/>
      <c r="CW83" s="240"/>
      <c r="CX83" s="240"/>
      <c r="CY83" s="240"/>
      <c r="CZ83" s="240"/>
      <c r="DA83" s="240"/>
      <c r="DB83" s="240"/>
      <c r="DC83" s="240"/>
      <c r="DD83" s="240"/>
      <c r="DE83" s="240"/>
      <c r="DF83" s="238"/>
      <c r="DG83" s="240"/>
      <c r="DH83" s="240"/>
      <c r="DI83" s="240"/>
      <c r="DJ83" s="240"/>
      <c r="DK83" s="240"/>
      <c r="DL83" s="240"/>
      <c r="DM83" s="240"/>
      <c r="DN83" s="240"/>
      <c r="DO83" s="240"/>
      <c r="DP83" s="240"/>
      <c r="DQ83" s="240"/>
      <c r="DR83" s="238"/>
      <c r="DS83" s="240"/>
      <c r="DT83" s="240"/>
      <c r="DU83" s="240"/>
      <c r="DV83" s="238"/>
      <c r="DW83" s="240"/>
      <c r="DX83" s="240"/>
      <c r="DY83" s="240"/>
      <c r="DZ83" s="240"/>
      <c r="EA83" s="240"/>
      <c r="EB83" s="240"/>
      <c r="EC83" s="240"/>
      <c r="ED83" s="240"/>
      <c r="EE83" s="240"/>
      <c r="EF83" s="238"/>
      <c r="EG83" s="240"/>
      <c r="EH83" s="240"/>
      <c r="EI83" s="240"/>
      <c r="EJ83" s="238"/>
      <c r="EK83" s="240"/>
      <c r="EL83" s="238"/>
      <c r="EM83" s="240"/>
      <c r="EN83" s="240"/>
      <c r="EO83" s="240"/>
      <c r="EP83" s="240"/>
      <c r="EQ83" s="240"/>
      <c r="ER83" s="240"/>
      <c r="ES83" s="240"/>
      <c r="ET83" s="240"/>
      <c r="EU83" s="240"/>
      <c r="EV83" s="240"/>
      <c r="EW83" s="240"/>
      <c r="EX83" s="238"/>
      <c r="EY83" s="240"/>
      <c r="EZ83" s="240"/>
      <c r="FA83" s="240"/>
      <c r="FB83" s="240"/>
      <c r="FC83" s="240"/>
      <c r="FD83" s="240"/>
      <c r="FE83" s="240"/>
      <c r="FF83" s="240"/>
      <c r="FG83" s="240"/>
      <c r="FH83" s="240"/>
      <c r="FI83" s="240"/>
      <c r="FJ83" s="240"/>
      <c r="FK83" s="240"/>
      <c r="FL83" s="240"/>
      <c r="FM83" s="240"/>
      <c r="FN83" s="240"/>
      <c r="FO83" s="238"/>
      <c r="FP83" s="240"/>
      <c r="FQ83" s="240"/>
      <c r="FR83" s="240"/>
      <c r="FS83" s="240"/>
      <c r="FT83" s="240"/>
      <c r="FU83" s="240"/>
      <c r="FV83" s="240"/>
      <c r="FW83" s="240"/>
      <c r="FX83" s="240"/>
      <c r="FY83" s="240"/>
      <c r="FZ83" s="238"/>
      <c r="GA83" s="240"/>
      <c r="GB83" s="240"/>
      <c r="GC83" s="238"/>
      <c r="GD83" s="240"/>
      <c r="GE83" s="240"/>
      <c r="GF83" s="240"/>
      <c r="GG83" s="240"/>
      <c r="GH83" s="238"/>
      <c r="GI83" s="240"/>
      <c r="GJ83" s="240"/>
      <c r="GK83" s="240"/>
      <c r="GL83" s="240"/>
      <c r="GM83" s="238"/>
      <c r="GN83" s="240"/>
      <c r="GO83" s="240"/>
      <c r="GP83" s="240"/>
      <c r="GQ83" s="240"/>
      <c r="GR83" s="240"/>
      <c r="GS83" s="240"/>
      <c r="GT83" s="240"/>
      <c r="GU83" s="240"/>
      <c r="GV83" s="240"/>
      <c r="GW83" s="240"/>
      <c r="GX83" s="240"/>
      <c r="GY83" s="240"/>
      <c r="GZ83" s="240"/>
      <c r="HA83" s="240"/>
      <c r="HB83" s="240"/>
      <c r="HC83" s="240"/>
      <c r="HD83" s="238"/>
      <c r="HE83" s="240"/>
      <c r="HF83" s="240"/>
      <c r="HG83" s="240"/>
      <c r="HH83" s="240"/>
      <c r="HI83" s="240"/>
      <c r="HJ83" s="238"/>
      <c r="HK83" s="240"/>
      <c r="HL83" s="238"/>
      <c r="HM83" s="241"/>
      <c r="HN83" s="235"/>
      <c r="HO83" s="235"/>
      <c r="HP83" s="235"/>
      <c r="HQ83" s="235"/>
    </row>
    <row r="84" spans="2:225" ht="37.5" hidden="1" outlineLevel="2" collapsed="1">
      <c r="B84" s="251" t="s">
        <v>713</v>
      </c>
      <c r="C84" s="252" t="str">
        <f>IF(E66='3. Dropdowns'!C111,"Hide","Show")</f>
        <v>Show</v>
      </c>
      <c r="D84" s="283" t="s">
        <v>3194</v>
      </c>
      <c r="E84" s="248"/>
      <c r="F84" s="284" t="str">
        <f>IF(E84='3. Dropdowns'!C113,"","Submittals, Products, Execution")</f>
        <v>Submittals, Products, Execution</v>
      </c>
      <c r="G84" s="268"/>
      <c r="H84" s="238"/>
      <c r="I84" s="239" t="s">
        <v>890</v>
      </c>
      <c r="J84" s="240"/>
      <c r="K84" s="240"/>
      <c r="L84" s="240"/>
      <c r="M84" s="240"/>
      <c r="N84" s="240"/>
      <c r="O84" s="240"/>
      <c r="P84" s="240"/>
      <c r="Q84" s="240"/>
      <c r="R84" s="240"/>
      <c r="S84" s="240"/>
      <c r="T84" s="240" t="s">
        <v>890</v>
      </c>
      <c r="U84" s="240"/>
      <c r="V84" s="240"/>
      <c r="W84" s="240"/>
      <c r="X84" s="238"/>
      <c r="Y84" s="240"/>
      <c r="Z84" s="240"/>
      <c r="AA84" s="240"/>
      <c r="AB84" s="240"/>
      <c r="AC84" s="240"/>
      <c r="AD84" s="240"/>
      <c r="AE84" s="240"/>
      <c r="AF84" s="240"/>
      <c r="AG84" s="240"/>
      <c r="AH84" s="238"/>
      <c r="AI84" s="240"/>
      <c r="AJ84" s="240"/>
      <c r="AK84" s="240"/>
      <c r="AL84" s="240"/>
      <c r="AM84" s="238"/>
      <c r="AN84" s="240"/>
      <c r="AO84" s="240"/>
      <c r="AP84" s="240"/>
      <c r="AQ84" s="238"/>
      <c r="AR84" s="240"/>
      <c r="AS84" s="240"/>
      <c r="AT84" s="240"/>
      <c r="AU84" s="240"/>
      <c r="AV84" s="240"/>
      <c r="AW84" s="240"/>
      <c r="AX84" s="240"/>
      <c r="AY84" s="240"/>
      <c r="AZ84" s="238"/>
      <c r="BA84" s="240" t="s">
        <v>890</v>
      </c>
      <c r="BB84" s="240"/>
      <c r="BC84" s="240"/>
      <c r="BD84" s="240"/>
      <c r="BE84" s="240"/>
      <c r="BF84" s="240"/>
      <c r="BG84" s="240"/>
      <c r="BH84" s="240"/>
      <c r="BI84" s="240"/>
      <c r="BJ84" s="240"/>
      <c r="BK84" s="240"/>
      <c r="BL84" s="240"/>
      <c r="BM84" s="240"/>
      <c r="BN84" s="240"/>
      <c r="BO84" s="240"/>
      <c r="BP84" s="238"/>
      <c r="BQ84" s="240"/>
      <c r="BR84" s="240"/>
      <c r="BS84" s="240"/>
      <c r="BT84" s="240"/>
      <c r="BU84" s="240"/>
      <c r="BV84" s="240"/>
      <c r="BW84" s="240"/>
      <c r="BX84" s="240" t="s">
        <v>890</v>
      </c>
      <c r="BY84" s="240" t="s">
        <v>890</v>
      </c>
      <c r="BZ84" s="240"/>
      <c r="CA84" s="240" t="s">
        <v>890</v>
      </c>
      <c r="CB84" s="240" t="s">
        <v>890</v>
      </c>
      <c r="CC84" s="240" t="s">
        <v>890</v>
      </c>
      <c r="CD84" s="240"/>
      <c r="CE84" s="240"/>
      <c r="CF84" s="238"/>
      <c r="CG84" s="240"/>
      <c r="CH84" s="240"/>
      <c r="CI84" s="240"/>
      <c r="CJ84" s="240"/>
      <c r="CK84" s="240"/>
      <c r="CL84" s="240"/>
      <c r="CM84" s="240"/>
      <c r="CN84" s="240"/>
      <c r="CO84" s="240"/>
      <c r="CP84" s="240"/>
      <c r="CQ84" s="240"/>
      <c r="CR84" s="240"/>
      <c r="CS84" s="238"/>
      <c r="CT84" s="240"/>
      <c r="CU84" s="240"/>
      <c r="CV84" s="240"/>
      <c r="CW84" s="240"/>
      <c r="CX84" s="240"/>
      <c r="CY84" s="240"/>
      <c r="CZ84" s="240"/>
      <c r="DA84" s="240"/>
      <c r="DB84" s="240"/>
      <c r="DC84" s="240"/>
      <c r="DD84" s="240"/>
      <c r="DE84" s="240"/>
      <c r="DF84" s="238"/>
      <c r="DG84" s="240"/>
      <c r="DH84" s="240"/>
      <c r="DI84" s="240"/>
      <c r="DJ84" s="240"/>
      <c r="DK84" s="240"/>
      <c r="DL84" s="240"/>
      <c r="DM84" s="240"/>
      <c r="DN84" s="240"/>
      <c r="DO84" s="240"/>
      <c r="DP84" s="240"/>
      <c r="DQ84" s="240"/>
      <c r="DR84" s="238"/>
      <c r="DS84" s="240"/>
      <c r="DT84" s="240"/>
      <c r="DU84" s="240"/>
      <c r="DV84" s="238"/>
      <c r="DW84" s="240"/>
      <c r="DX84" s="240"/>
      <c r="DY84" s="240"/>
      <c r="DZ84" s="240"/>
      <c r="EA84" s="240"/>
      <c r="EB84" s="240"/>
      <c r="EC84" s="240"/>
      <c r="ED84" s="240"/>
      <c r="EE84" s="240"/>
      <c r="EF84" s="238"/>
      <c r="EG84" s="240"/>
      <c r="EH84" s="240"/>
      <c r="EI84" s="240"/>
      <c r="EJ84" s="238"/>
      <c r="EK84" s="240"/>
      <c r="EL84" s="238"/>
      <c r="EM84" s="240"/>
      <c r="EN84" s="240"/>
      <c r="EO84" s="240"/>
      <c r="EP84" s="240"/>
      <c r="EQ84" s="240"/>
      <c r="ER84" s="240"/>
      <c r="ES84" s="240"/>
      <c r="ET84" s="240"/>
      <c r="EU84" s="240"/>
      <c r="EV84" s="240"/>
      <c r="EW84" s="240"/>
      <c r="EX84" s="238"/>
      <c r="EY84" s="240"/>
      <c r="EZ84" s="240"/>
      <c r="FA84" s="240"/>
      <c r="FB84" s="240"/>
      <c r="FC84" s="240"/>
      <c r="FD84" s="240"/>
      <c r="FE84" s="240"/>
      <c r="FF84" s="240"/>
      <c r="FG84" s="240"/>
      <c r="FH84" s="240"/>
      <c r="FI84" s="240"/>
      <c r="FJ84" s="240"/>
      <c r="FK84" s="240"/>
      <c r="FL84" s="240"/>
      <c r="FM84" s="240"/>
      <c r="FN84" s="240"/>
      <c r="FO84" s="238"/>
      <c r="FP84" s="240"/>
      <c r="FQ84" s="240"/>
      <c r="FR84" s="240"/>
      <c r="FS84" s="240"/>
      <c r="FT84" s="240"/>
      <c r="FU84" s="240"/>
      <c r="FV84" s="240"/>
      <c r="FW84" s="240"/>
      <c r="FX84" s="240"/>
      <c r="FY84" s="240"/>
      <c r="FZ84" s="238"/>
      <c r="GA84" s="240"/>
      <c r="GB84" s="240"/>
      <c r="GC84" s="238"/>
      <c r="GD84" s="240"/>
      <c r="GE84" s="240"/>
      <c r="GF84" s="240"/>
      <c r="GG84" s="240"/>
      <c r="GH84" s="238"/>
      <c r="GI84" s="240"/>
      <c r="GJ84" s="240"/>
      <c r="GK84" s="240"/>
      <c r="GL84" s="240"/>
      <c r="GM84" s="238"/>
      <c r="GN84" s="240"/>
      <c r="GO84" s="240"/>
      <c r="GP84" s="240"/>
      <c r="GQ84" s="240"/>
      <c r="GR84" s="240"/>
      <c r="GS84" s="240"/>
      <c r="GT84" s="240"/>
      <c r="GU84" s="240"/>
      <c r="GV84" s="240"/>
      <c r="GW84" s="240"/>
      <c r="GX84" s="240"/>
      <c r="GY84" s="240"/>
      <c r="GZ84" s="240"/>
      <c r="HA84" s="240"/>
      <c r="HB84" s="240"/>
      <c r="HC84" s="240"/>
      <c r="HD84" s="238"/>
      <c r="HE84" s="240"/>
      <c r="HF84" s="240"/>
      <c r="HG84" s="240"/>
      <c r="HH84" s="240"/>
      <c r="HI84" s="240"/>
      <c r="HJ84" s="238"/>
      <c r="HK84" s="240"/>
      <c r="HL84" s="238"/>
      <c r="HM84" s="241"/>
      <c r="HN84" s="235"/>
      <c r="HO84" s="235"/>
      <c r="HP84" s="235"/>
      <c r="HQ84" s="235"/>
    </row>
    <row r="85" spans="2:225" ht="37.5" hidden="1" outlineLevel="3">
      <c r="B85" s="251" t="s">
        <v>1782</v>
      </c>
      <c r="C85" s="252" t="str">
        <f>IF(E84='3. Dropdowns'!C113,"Hide",IF(E66='3. Dropdowns'!C111,"Hide","Show"))</f>
        <v>Show</v>
      </c>
      <c r="D85" s="283" t="s">
        <v>3195</v>
      </c>
      <c r="E85" s="248"/>
      <c r="F85" s="284" t="str">
        <f>IF(E85='3. Dropdowns'!C115,"","Submittals, Products, Execution")</f>
        <v>Submittals, Products, Execution</v>
      </c>
      <c r="G85" s="268"/>
      <c r="H85" s="238"/>
      <c r="I85" s="239" t="s">
        <v>890</v>
      </c>
      <c r="J85" s="240"/>
      <c r="K85" s="240"/>
      <c r="L85" s="240"/>
      <c r="M85" s="240"/>
      <c r="N85" s="240"/>
      <c r="O85" s="240"/>
      <c r="P85" s="240"/>
      <c r="Q85" s="240"/>
      <c r="R85" s="240"/>
      <c r="S85" s="240"/>
      <c r="T85" s="240" t="s">
        <v>890</v>
      </c>
      <c r="U85" s="240"/>
      <c r="V85" s="240"/>
      <c r="W85" s="240"/>
      <c r="X85" s="238"/>
      <c r="Y85" s="240"/>
      <c r="Z85" s="240"/>
      <c r="AA85" s="240"/>
      <c r="AB85" s="240"/>
      <c r="AC85" s="240"/>
      <c r="AD85" s="240"/>
      <c r="AE85" s="240"/>
      <c r="AF85" s="240"/>
      <c r="AG85" s="240"/>
      <c r="AH85" s="238"/>
      <c r="AI85" s="240"/>
      <c r="AJ85" s="240"/>
      <c r="AK85" s="240"/>
      <c r="AL85" s="240"/>
      <c r="AM85" s="238"/>
      <c r="AN85" s="240"/>
      <c r="AO85" s="240"/>
      <c r="AP85" s="240"/>
      <c r="AQ85" s="238"/>
      <c r="AR85" s="240"/>
      <c r="AS85" s="240"/>
      <c r="AT85" s="240"/>
      <c r="AU85" s="240"/>
      <c r="AV85" s="240"/>
      <c r="AW85" s="240"/>
      <c r="AX85" s="240"/>
      <c r="AY85" s="240"/>
      <c r="AZ85" s="238"/>
      <c r="BA85" s="240" t="s">
        <v>890</v>
      </c>
      <c r="BB85" s="240"/>
      <c r="BC85" s="240"/>
      <c r="BD85" s="240"/>
      <c r="BE85" s="240"/>
      <c r="BF85" s="240"/>
      <c r="BG85" s="240"/>
      <c r="BH85" s="240"/>
      <c r="BI85" s="240"/>
      <c r="BJ85" s="240"/>
      <c r="BK85" s="240"/>
      <c r="BL85" s="240"/>
      <c r="BM85" s="240"/>
      <c r="BN85" s="240"/>
      <c r="BO85" s="240"/>
      <c r="BP85" s="238"/>
      <c r="BQ85" s="240"/>
      <c r="BR85" s="240"/>
      <c r="BS85" s="240"/>
      <c r="BT85" s="240"/>
      <c r="BU85" s="240"/>
      <c r="BV85" s="240"/>
      <c r="BW85" s="240"/>
      <c r="BX85" s="240" t="s">
        <v>890</v>
      </c>
      <c r="BY85" s="240"/>
      <c r="BZ85" s="240"/>
      <c r="CA85" s="240"/>
      <c r="CB85" s="240"/>
      <c r="CC85" s="240"/>
      <c r="CD85" s="240"/>
      <c r="CE85" s="240"/>
      <c r="CF85" s="238"/>
      <c r="CG85" s="240"/>
      <c r="CH85" s="240"/>
      <c r="CI85" s="240"/>
      <c r="CJ85" s="240"/>
      <c r="CK85" s="240"/>
      <c r="CL85" s="240"/>
      <c r="CM85" s="240"/>
      <c r="CN85" s="240"/>
      <c r="CO85" s="240"/>
      <c r="CP85" s="240"/>
      <c r="CQ85" s="240"/>
      <c r="CR85" s="240"/>
      <c r="CS85" s="238"/>
      <c r="CT85" s="240"/>
      <c r="CU85" s="240"/>
      <c r="CV85" s="240"/>
      <c r="CW85" s="240"/>
      <c r="CX85" s="240"/>
      <c r="CY85" s="240"/>
      <c r="CZ85" s="240"/>
      <c r="DA85" s="240"/>
      <c r="DB85" s="240"/>
      <c r="DC85" s="240"/>
      <c r="DD85" s="240"/>
      <c r="DE85" s="240"/>
      <c r="DF85" s="238"/>
      <c r="DG85" s="240"/>
      <c r="DH85" s="240"/>
      <c r="DI85" s="240"/>
      <c r="DJ85" s="240"/>
      <c r="DK85" s="240"/>
      <c r="DL85" s="240"/>
      <c r="DM85" s="240"/>
      <c r="DN85" s="240"/>
      <c r="DO85" s="240"/>
      <c r="DP85" s="240"/>
      <c r="DQ85" s="240"/>
      <c r="DR85" s="238"/>
      <c r="DS85" s="240"/>
      <c r="DT85" s="240"/>
      <c r="DU85" s="240"/>
      <c r="DV85" s="238"/>
      <c r="DW85" s="240"/>
      <c r="DX85" s="240"/>
      <c r="DY85" s="240"/>
      <c r="DZ85" s="240"/>
      <c r="EA85" s="240"/>
      <c r="EB85" s="240"/>
      <c r="EC85" s="240"/>
      <c r="ED85" s="240"/>
      <c r="EE85" s="240"/>
      <c r="EF85" s="238"/>
      <c r="EG85" s="240"/>
      <c r="EH85" s="240"/>
      <c r="EI85" s="240"/>
      <c r="EJ85" s="238"/>
      <c r="EK85" s="240"/>
      <c r="EL85" s="238"/>
      <c r="EM85" s="240"/>
      <c r="EN85" s="240"/>
      <c r="EO85" s="240"/>
      <c r="EP85" s="240"/>
      <c r="EQ85" s="240"/>
      <c r="ER85" s="240"/>
      <c r="ES85" s="240"/>
      <c r="ET85" s="240"/>
      <c r="EU85" s="240"/>
      <c r="EV85" s="240"/>
      <c r="EW85" s="240"/>
      <c r="EX85" s="238"/>
      <c r="EY85" s="240"/>
      <c r="EZ85" s="240"/>
      <c r="FA85" s="240"/>
      <c r="FB85" s="240"/>
      <c r="FC85" s="240"/>
      <c r="FD85" s="240"/>
      <c r="FE85" s="240"/>
      <c r="FF85" s="240"/>
      <c r="FG85" s="240"/>
      <c r="FH85" s="240"/>
      <c r="FI85" s="240"/>
      <c r="FJ85" s="240"/>
      <c r="FK85" s="240"/>
      <c r="FL85" s="240"/>
      <c r="FM85" s="240"/>
      <c r="FN85" s="240"/>
      <c r="FO85" s="238"/>
      <c r="FP85" s="240"/>
      <c r="FQ85" s="240"/>
      <c r="FR85" s="240"/>
      <c r="FS85" s="240"/>
      <c r="FT85" s="240"/>
      <c r="FU85" s="240"/>
      <c r="FV85" s="240"/>
      <c r="FW85" s="240"/>
      <c r="FX85" s="240"/>
      <c r="FY85" s="240"/>
      <c r="FZ85" s="238"/>
      <c r="GA85" s="240"/>
      <c r="GB85" s="240"/>
      <c r="GC85" s="238"/>
      <c r="GD85" s="240"/>
      <c r="GE85" s="240"/>
      <c r="GF85" s="240"/>
      <c r="GG85" s="240"/>
      <c r="GH85" s="238"/>
      <c r="GI85" s="240"/>
      <c r="GJ85" s="240"/>
      <c r="GK85" s="240"/>
      <c r="GL85" s="240"/>
      <c r="GM85" s="238"/>
      <c r="GN85" s="240"/>
      <c r="GO85" s="240"/>
      <c r="GP85" s="240"/>
      <c r="GQ85" s="240"/>
      <c r="GR85" s="240"/>
      <c r="GS85" s="240"/>
      <c r="GT85" s="240"/>
      <c r="GU85" s="240"/>
      <c r="GV85" s="240"/>
      <c r="GW85" s="240"/>
      <c r="GX85" s="240"/>
      <c r="GY85" s="240"/>
      <c r="GZ85" s="240"/>
      <c r="HA85" s="240"/>
      <c r="HB85" s="240"/>
      <c r="HC85" s="240"/>
      <c r="HD85" s="238"/>
      <c r="HE85" s="240"/>
      <c r="HF85" s="240"/>
      <c r="HG85" s="240"/>
      <c r="HH85" s="240"/>
      <c r="HI85" s="240"/>
      <c r="HJ85" s="238"/>
      <c r="HK85" s="240"/>
      <c r="HL85" s="238"/>
      <c r="HM85" s="241"/>
      <c r="HN85" s="235"/>
      <c r="HO85" s="235"/>
      <c r="HP85" s="235"/>
      <c r="HQ85" s="235"/>
    </row>
    <row r="86" spans="2:225" ht="37.5" hidden="1" outlineLevel="3">
      <c r="B86" s="251" t="s">
        <v>1782</v>
      </c>
      <c r="C86" s="252" t="str">
        <f>IF(E84='3. Dropdowns'!C113,"Hide",IF(E66='3. Dropdowns'!C111,"Hide","Show"))</f>
        <v>Show</v>
      </c>
      <c r="D86" s="283" t="s">
        <v>3196</v>
      </c>
      <c r="E86" s="248"/>
      <c r="F86" s="284" t="str">
        <f>IF(E86='3. Dropdowns'!C115,"","Products, Execution")</f>
        <v>Products, Execution</v>
      </c>
      <c r="G86" s="268"/>
      <c r="H86" s="238"/>
      <c r="I86" s="239" t="s">
        <v>890</v>
      </c>
      <c r="J86" s="240"/>
      <c r="K86" s="240"/>
      <c r="L86" s="240"/>
      <c r="M86" s="240"/>
      <c r="N86" s="240"/>
      <c r="O86" s="240"/>
      <c r="P86" s="240"/>
      <c r="Q86" s="240"/>
      <c r="R86" s="240"/>
      <c r="S86" s="240"/>
      <c r="T86" s="240" t="s">
        <v>890</v>
      </c>
      <c r="U86" s="240"/>
      <c r="V86" s="240"/>
      <c r="W86" s="240"/>
      <c r="X86" s="238"/>
      <c r="Y86" s="240"/>
      <c r="Z86" s="240"/>
      <c r="AA86" s="240"/>
      <c r="AB86" s="240"/>
      <c r="AC86" s="240"/>
      <c r="AD86" s="240"/>
      <c r="AE86" s="240"/>
      <c r="AF86" s="240"/>
      <c r="AG86" s="240"/>
      <c r="AH86" s="238"/>
      <c r="AI86" s="240"/>
      <c r="AJ86" s="240"/>
      <c r="AK86" s="240"/>
      <c r="AL86" s="240"/>
      <c r="AM86" s="238"/>
      <c r="AN86" s="240"/>
      <c r="AO86" s="240"/>
      <c r="AP86" s="240"/>
      <c r="AQ86" s="238"/>
      <c r="AR86" s="240"/>
      <c r="AS86" s="240"/>
      <c r="AT86" s="240"/>
      <c r="AU86" s="240"/>
      <c r="AV86" s="240"/>
      <c r="AW86" s="240"/>
      <c r="AX86" s="240"/>
      <c r="AY86" s="240"/>
      <c r="AZ86" s="238"/>
      <c r="BA86" s="240"/>
      <c r="BB86" s="240"/>
      <c r="BC86" s="240"/>
      <c r="BD86" s="240"/>
      <c r="BE86" s="240"/>
      <c r="BF86" s="240"/>
      <c r="BG86" s="240"/>
      <c r="BH86" s="240"/>
      <c r="BI86" s="240"/>
      <c r="BJ86" s="240"/>
      <c r="BK86" s="240"/>
      <c r="BL86" s="240"/>
      <c r="BM86" s="240"/>
      <c r="BN86" s="240"/>
      <c r="BO86" s="240"/>
      <c r="BP86" s="238"/>
      <c r="BQ86" s="240"/>
      <c r="BR86" s="240"/>
      <c r="BS86" s="240"/>
      <c r="BT86" s="240"/>
      <c r="BU86" s="240"/>
      <c r="BV86" s="240"/>
      <c r="BW86" s="240"/>
      <c r="BX86" s="240" t="s">
        <v>890</v>
      </c>
      <c r="BY86" s="240"/>
      <c r="BZ86" s="240"/>
      <c r="CA86" s="240"/>
      <c r="CB86" s="240" t="s">
        <v>890</v>
      </c>
      <c r="CC86" s="240" t="s">
        <v>890</v>
      </c>
      <c r="CD86" s="240"/>
      <c r="CE86" s="240"/>
      <c r="CF86" s="238"/>
      <c r="CG86" s="240"/>
      <c r="CH86" s="240"/>
      <c r="CI86" s="240"/>
      <c r="CJ86" s="240"/>
      <c r="CK86" s="240"/>
      <c r="CL86" s="240"/>
      <c r="CM86" s="240"/>
      <c r="CN86" s="240"/>
      <c r="CO86" s="240"/>
      <c r="CP86" s="240"/>
      <c r="CQ86" s="240"/>
      <c r="CR86" s="240"/>
      <c r="CS86" s="238"/>
      <c r="CT86" s="240"/>
      <c r="CU86" s="240"/>
      <c r="CV86" s="240"/>
      <c r="CW86" s="240"/>
      <c r="CX86" s="240"/>
      <c r="CY86" s="240"/>
      <c r="CZ86" s="240"/>
      <c r="DA86" s="240"/>
      <c r="DB86" s="240"/>
      <c r="DC86" s="240"/>
      <c r="DD86" s="240"/>
      <c r="DE86" s="240"/>
      <c r="DF86" s="238"/>
      <c r="DG86" s="240"/>
      <c r="DH86" s="240"/>
      <c r="DI86" s="240"/>
      <c r="DJ86" s="240"/>
      <c r="DK86" s="240"/>
      <c r="DL86" s="240"/>
      <c r="DM86" s="240"/>
      <c r="DN86" s="240"/>
      <c r="DO86" s="240"/>
      <c r="DP86" s="240"/>
      <c r="DQ86" s="240"/>
      <c r="DR86" s="238"/>
      <c r="DS86" s="240"/>
      <c r="DT86" s="240"/>
      <c r="DU86" s="240"/>
      <c r="DV86" s="238"/>
      <c r="DW86" s="240"/>
      <c r="DX86" s="240"/>
      <c r="DY86" s="240"/>
      <c r="DZ86" s="240"/>
      <c r="EA86" s="240"/>
      <c r="EB86" s="240"/>
      <c r="EC86" s="240"/>
      <c r="ED86" s="240"/>
      <c r="EE86" s="240"/>
      <c r="EF86" s="238"/>
      <c r="EG86" s="240"/>
      <c r="EH86" s="240"/>
      <c r="EI86" s="240"/>
      <c r="EJ86" s="238"/>
      <c r="EK86" s="240"/>
      <c r="EL86" s="238"/>
      <c r="EM86" s="240"/>
      <c r="EN86" s="240"/>
      <c r="EO86" s="240"/>
      <c r="EP86" s="240"/>
      <c r="EQ86" s="240"/>
      <c r="ER86" s="240"/>
      <c r="ES86" s="240"/>
      <c r="ET86" s="240"/>
      <c r="EU86" s="240"/>
      <c r="EV86" s="240"/>
      <c r="EW86" s="240"/>
      <c r="EX86" s="238"/>
      <c r="EY86" s="240"/>
      <c r="EZ86" s="240"/>
      <c r="FA86" s="240"/>
      <c r="FB86" s="240"/>
      <c r="FC86" s="240"/>
      <c r="FD86" s="240"/>
      <c r="FE86" s="240"/>
      <c r="FF86" s="240"/>
      <c r="FG86" s="240"/>
      <c r="FH86" s="240"/>
      <c r="FI86" s="240"/>
      <c r="FJ86" s="240"/>
      <c r="FK86" s="240"/>
      <c r="FL86" s="240"/>
      <c r="FM86" s="240"/>
      <c r="FN86" s="240"/>
      <c r="FO86" s="238"/>
      <c r="FP86" s="240"/>
      <c r="FQ86" s="240"/>
      <c r="FR86" s="240"/>
      <c r="FS86" s="240"/>
      <c r="FT86" s="240"/>
      <c r="FU86" s="240"/>
      <c r="FV86" s="240"/>
      <c r="FW86" s="240"/>
      <c r="FX86" s="240"/>
      <c r="FY86" s="240"/>
      <c r="FZ86" s="238"/>
      <c r="GA86" s="240"/>
      <c r="GB86" s="240"/>
      <c r="GC86" s="238"/>
      <c r="GD86" s="240"/>
      <c r="GE86" s="240"/>
      <c r="GF86" s="240"/>
      <c r="GG86" s="240"/>
      <c r="GH86" s="238"/>
      <c r="GI86" s="240"/>
      <c r="GJ86" s="240"/>
      <c r="GK86" s="240"/>
      <c r="GL86" s="240"/>
      <c r="GM86" s="238"/>
      <c r="GN86" s="240"/>
      <c r="GO86" s="240"/>
      <c r="GP86" s="240"/>
      <c r="GQ86" s="240"/>
      <c r="GR86" s="240"/>
      <c r="GS86" s="240"/>
      <c r="GT86" s="240"/>
      <c r="GU86" s="240"/>
      <c r="GV86" s="240"/>
      <c r="GW86" s="240"/>
      <c r="GX86" s="240"/>
      <c r="GY86" s="240"/>
      <c r="GZ86" s="240"/>
      <c r="HA86" s="240"/>
      <c r="HB86" s="240"/>
      <c r="HC86" s="240"/>
      <c r="HD86" s="238"/>
      <c r="HE86" s="240"/>
      <c r="HF86" s="240"/>
      <c r="HG86" s="240"/>
      <c r="HH86" s="240"/>
      <c r="HI86" s="240"/>
      <c r="HJ86" s="238"/>
      <c r="HK86" s="240"/>
      <c r="HL86" s="238"/>
      <c r="HM86" s="241"/>
      <c r="HN86" s="235"/>
      <c r="HO86" s="235"/>
      <c r="HP86" s="235"/>
      <c r="HQ86" s="235"/>
    </row>
    <row r="87" spans="2:225" ht="37.5" hidden="1" outlineLevel="3">
      <c r="B87" s="251" t="s">
        <v>1782</v>
      </c>
      <c r="C87" s="252" t="str">
        <f>IF(E84='3. Dropdowns'!C113,"Hide",IF(E66='3. Dropdowns'!C111,"Hide","Show"))</f>
        <v>Show</v>
      </c>
      <c r="D87" s="283" t="s">
        <v>3197</v>
      </c>
      <c r="E87" s="248"/>
      <c r="F87" s="284" t="str">
        <f>IF(E87='3. Dropdowns'!C115,"","Execution")</f>
        <v>Execution</v>
      </c>
      <c r="G87" s="268"/>
      <c r="H87" s="238"/>
      <c r="I87" s="239" t="s">
        <v>890</v>
      </c>
      <c r="J87" s="240"/>
      <c r="K87" s="240"/>
      <c r="L87" s="240"/>
      <c r="M87" s="240"/>
      <c r="N87" s="240"/>
      <c r="O87" s="240"/>
      <c r="P87" s="240"/>
      <c r="Q87" s="240"/>
      <c r="R87" s="240"/>
      <c r="S87" s="240"/>
      <c r="T87" s="240" t="s">
        <v>890</v>
      </c>
      <c r="U87" s="240"/>
      <c r="V87" s="240"/>
      <c r="W87" s="240"/>
      <c r="X87" s="238"/>
      <c r="Y87" s="240"/>
      <c r="Z87" s="240"/>
      <c r="AA87" s="240"/>
      <c r="AB87" s="240"/>
      <c r="AC87" s="240"/>
      <c r="AD87" s="240"/>
      <c r="AE87" s="240"/>
      <c r="AF87" s="240"/>
      <c r="AG87" s="240"/>
      <c r="AH87" s="238"/>
      <c r="AI87" s="240"/>
      <c r="AJ87" s="240"/>
      <c r="AK87" s="240"/>
      <c r="AL87" s="240"/>
      <c r="AM87" s="238"/>
      <c r="AN87" s="240"/>
      <c r="AO87" s="240"/>
      <c r="AP87" s="240"/>
      <c r="AQ87" s="238"/>
      <c r="AR87" s="240"/>
      <c r="AS87" s="240"/>
      <c r="AT87" s="240"/>
      <c r="AU87" s="240"/>
      <c r="AV87" s="240"/>
      <c r="AW87" s="240"/>
      <c r="AX87" s="240"/>
      <c r="AY87" s="240"/>
      <c r="AZ87" s="238"/>
      <c r="BA87" s="240" t="s">
        <v>890</v>
      </c>
      <c r="BB87" s="240"/>
      <c r="BC87" s="240"/>
      <c r="BD87" s="240"/>
      <c r="BE87" s="240"/>
      <c r="BF87" s="240"/>
      <c r="BG87" s="240"/>
      <c r="BH87" s="240"/>
      <c r="BI87" s="240"/>
      <c r="BJ87" s="240"/>
      <c r="BK87" s="240"/>
      <c r="BL87" s="240"/>
      <c r="BM87" s="240"/>
      <c r="BN87" s="240"/>
      <c r="BO87" s="240"/>
      <c r="BP87" s="238"/>
      <c r="BQ87" s="240"/>
      <c r="BR87" s="240"/>
      <c r="BS87" s="240"/>
      <c r="BT87" s="240"/>
      <c r="BU87" s="240"/>
      <c r="BV87" s="240"/>
      <c r="BW87" s="240"/>
      <c r="BX87" s="240" t="s">
        <v>890</v>
      </c>
      <c r="BY87" s="240"/>
      <c r="BZ87" s="240"/>
      <c r="CA87" s="240"/>
      <c r="CB87" s="240"/>
      <c r="CC87" s="240"/>
      <c r="CD87" s="240"/>
      <c r="CE87" s="240"/>
      <c r="CF87" s="238"/>
      <c r="CG87" s="240"/>
      <c r="CH87" s="240"/>
      <c r="CI87" s="240"/>
      <c r="CJ87" s="240"/>
      <c r="CK87" s="240"/>
      <c r="CL87" s="240"/>
      <c r="CM87" s="240"/>
      <c r="CN87" s="240"/>
      <c r="CO87" s="240"/>
      <c r="CP87" s="240"/>
      <c r="CQ87" s="240"/>
      <c r="CR87" s="240"/>
      <c r="CS87" s="238"/>
      <c r="CT87" s="240"/>
      <c r="CU87" s="240"/>
      <c r="CV87" s="240"/>
      <c r="CW87" s="240"/>
      <c r="CX87" s="240"/>
      <c r="CY87" s="240"/>
      <c r="CZ87" s="240"/>
      <c r="DA87" s="240"/>
      <c r="DB87" s="240"/>
      <c r="DC87" s="240"/>
      <c r="DD87" s="240"/>
      <c r="DE87" s="240"/>
      <c r="DF87" s="238"/>
      <c r="DG87" s="240"/>
      <c r="DH87" s="240"/>
      <c r="DI87" s="240"/>
      <c r="DJ87" s="240"/>
      <c r="DK87" s="240"/>
      <c r="DL87" s="240"/>
      <c r="DM87" s="240"/>
      <c r="DN87" s="240"/>
      <c r="DO87" s="240"/>
      <c r="DP87" s="240"/>
      <c r="DQ87" s="240"/>
      <c r="DR87" s="238"/>
      <c r="DS87" s="240"/>
      <c r="DT87" s="240"/>
      <c r="DU87" s="240"/>
      <c r="DV87" s="238"/>
      <c r="DW87" s="240"/>
      <c r="DX87" s="240"/>
      <c r="DY87" s="240"/>
      <c r="DZ87" s="240"/>
      <c r="EA87" s="240"/>
      <c r="EB87" s="240"/>
      <c r="EC87" s="240"/>
      <c r="ED87" s="240"/>
      <c r="EE87" s="240"/>
      <c r="EF87" s="238"/>
      <c r="EG87" s="240"/>
      <c r="EH87" s="240"/>
      <c r="EI87" s="240"/>
      <c r="EJ87" s="238"/>
      <c r="EK87" s="240"/>
      <c r="EL87" s="238"/>
      <c r="EM87" s="240"/>
      <c r="EN87" s="240"/>
      <c r="EO87" s="240"/>
      <c r="EP87" s="240"/>
      <c r="EQ87" s="240"/>
      <c r="ER87" s="240"/>
      <c r="ES87" s="240"/>
      <c r="ET87" s="240"/>
      <c r="EU87" s="240"/>
      <c r="EV87" s="240"/>
      <c r="EW87" s="240"/>
      <c r="EX87" s="238"/>
      <c r="EY87" s="240"/>
      <c r="EZ87" s="240"/>
      <c r="FA87" s="240"/>
      <c r="FB87" s="240"/>
      <c r="FC87" s="240"/>
      <c r="FD87" s="240"/>
      <c r="FE87" s="240"/>
      <c r="FF87" s="240"/>
      <c r="FG87" s="240"/>
      <c r="FH87" s="240"/>
      <c r="FI87" s="240"/>
      <c r="FJ87" s="240"/>
      <c r="FK87" s="240"/>
      <c r="FL87" s="240"/>
      <c r="FM87" s="240"/>
      <c r="FN87" s="240"/>
      <c r="FO87" s="238"/>
      <c r="FP87" s="240"/>
      <c r="FQ87" s="240"/>
      <c r="FR87" s="240"/>
      <c r="FS87" s="240"/>
      <c r="FT87" s="240"/>
      <c r="FU87" s="240"/>
      <c r="FV87" s="240"/>
      <c r="FW87" s="240"/>
      <c r="FX87" s="240"/>
      <c r="FY87" s="240"/>
      <c r="FZ87" s="238"/>
      <c r="GA87" s="240"/>
      <c r="GB87" s="240"/>
      <c r="GC87" s="238"/>
      <c r="GD87" s="240"/>
      <c r="GE87" s="240"/>
      <c r="GF87" s="240"/>
      <c r="GG87" s="240"/>
      <c r="GH87" s="238"/>
      <c r="GI87" s="240"/>
      <c r="GJ87" s="240"/>
      <c r="GK87" s="240"/>
      <c r="GL87" s="240"/>
      <c r="GM87" s="238"/>
      <c r="GN87" s="240"/>
      <c r="GO87" s="240"/>
      <c r="GP87" s="240"/>
      <c r="GQ87" s="240"/>
      <c r="GR87" s="240"/>
      <c r="GS87" s="240"/>
      <c r="GT87" s="240"/>
      <c r="GU87" s="240"/>
      <c r="GV87" s="240"/>
      <c r="GW87" s="240"/>
      <c r="GX87" s="240"/>
      <c r="GY87" s="240"/>
      <c r="GZ87" s="240"/>
      <c r="HA87" s="240"/>
      <c r="HB87" s="240"/>
      <c r="HC87" s="240"/>
      <c r="HD87" s="238"/>
      <c r="HE87" s="240"/>
      <c r="HF87" s="240"/>
      <c r="HG87" s="240"/>
      <c r="HH87" s="240"/>
      <c r="HI87" s="240"/>
      <c r="HJ87" s="238"/>
      <c r="HK87" s="240"/>
      <c r="HL87" s="238"/>
      <c r="HM87" s="241"/>
      <c r="HN87" s="235"/>
      <c r="HO87" s="235"/>
      <c r="HP87" s="235"/>
      <c r="HQ87" s="235"/>
    </row>
    <row r="88" spans="2:225" ht="37.5" hidden="1" outlineLevel="3">
      <c r="B88" s="251" t="s">
        <v>1782</v>
      </c>
      <c r="C88" s="252" t="str">
        <f>IF(E84='3. Dropdowns'!C113,"Hide",IF(E66='3. Dropdowns'!C111,"Hide","Show"))</f>
        <v>Show</v>
      </c>
      <c r="D88" s="283" t="s">
        <v>3198</v>
      </c>
      <c r="E88" s="248"/>
      <c r="F88" s="284" t="str">
        <f>IF(E88='3. Dropdowns'!C115,"","Submittals, Products, Execution")</f>
        <v>Submittals, Products, Execution</v>
      </c>
      <c r="G88" s="268"/>
      <c r="H88" s="238"/>
      <c r="I88" s="239" t="s">
        <v>890</v>
      </c>
      <c r="J88" s="240"/>
      <c r="K88" s="240"/>
      <c r="L88" s="240"/>
      <c r="M88" s="240"/>
      <c r="N88" s="240"/>
      <c r="O88" s="240"/>
      <c r="P88" s="240"/>
      <c r="Q88" s="240"/>
      <c r="R88" s="240"/>
      <c r="S88" s="240"/>
      <c r="T88" s="240" t="s">
        <v>890</v>
      </c>
      <c r="U88" s="240"/>
      <c r="V88" s="240"/>
      <c r="W88" s="240"/>
      <c r="X88" s="238"/>
      <c r="Y88" s="240"/>
      <c r="Z88" s="240"/>
      <c r="AA88" s="240"/>
      <c r="AB88" s="240"/>
      <c r="AC88" s="240"/>
      <c r="AD88" s="240"/>
      <c r="AE88" s="240"/>
      <c r="AF88" s="240"/>
      <c r="AG88" s="240"/>
      <c r="AH88" s="238"/>
      <c r="AI88" s="240"/>
      <c r="AJ88" s="240"/>
      <c r="AK88" s="240"/>
      <c r="AL88" s="240"/>
      <c r="AM88" s="238"/>
      <c r="AN88" s="240"/>
      <c r="AO88" s="240"/>
      <c r="AP88" s="240"/>
      <c r="AQ88" s="238"/>
      <c r="AR88" s="240"/>
      <c r="AS88" s="240"/>
      <c r="AT88" s="240"/>
      <c r="AU88" s="240"/>
      <c r="AV88" s="240"/>
      <c r="AW88" s="240"/>
      <c r="AX88" s="240"/>
      <c r="AY88" s="240"/>
      <c r="AZ88" s="238"/>
      <c r="BA88" s="240"/>
      <c r="BB88" s="240"/>
      <c r="BC88" s="240"/>
      <c r="BD88" s="240"/>
      <c r="BE88" s="240"/>
      <c r="BF88" s="240"/>
      <c r="BG88" s="240"/>
      <c r="BH88" s="240"/>
      <c r="BI88" s="240"/>
      <c r="BJ88" s="240"/>
      <c r="BK88" s="240"/>
      <c r="BL88" s="240"/>
      <c r="BM88" s="240"/>
      <c r="BN88" s="240"/>
      <c r="BO88" s="240"/>
      <c r="BP88" s="238"/>
      <c r="BQ88" s="240"/>
      <c r="BR88" s="240"/>
      <c r="BS88" s="240"/>
      <c r="BT88" s="240"/>
      <c r="BU88" s="240"/>
      <c r="BV88" s="240"/>
      <c r="BW88" s="240"/>
      <c r="BX88" s="240" t="s">
        <v>890</v>
      </c>
      <c r="BY88" s="240" t="s">
        <v>890</v>
      </c>
      <c r="BZ88" s="240"/>
      <c r="CA88" s="240" t="s">
        <v>890</v>
      </c>
      <c r="CB88" s="240" t="s">
        <v>890</v>
      </c>
      <c r="CC88" s="240"/>
      <c r="CD88" s="240"/>
      <c r="CE88" s="240"/>
      <c r="CF88" s="238"/>
      <c r="CG88" s="240"/>
      <c r="CH88" s="240"/>
      <c r="CI88" s="240"/>
      <c r="CJ88" s="240"/>
      <c r="CK88" s="240"/>
      <c r="CL88" s="240"/>
      <c r="CM88" s="240"/>
      <c r="CN88" s="240"/>
      <c r="CO88" s="240"/>
      <c r="CP88" s="240"/>
      <c r="CQ88" s="240"/>
      <c r="CR88" s="240"/>
      <c r="CS88" s="238"/>
      <c r="CT88" s="240"/>
      <c r="CU88" s="240"/>
      <c r="CV88" s="240"/>
      <c r="CW88" s="240"/>
      <c r="CX88" s="240"/>
      <c r="CY88" s="240"/>
      <c r="CZ88" s="240"/>
      <c r="DA88" s="240"/>
      <c r="DB88" s="240"/>
      <c r="DC88" s="240"/>
      <c r="DD88" s="240"/>
      <c r="DE88" s="240"/>
      <c r="DF88" s="238"/>
      <c r="DG88" s="240"/>
      <c r="DH88" s="240"/>
      <c r="DI88" s="240"/>
      <c r="DJ88" s="240"/>
      <c r="DK88" s="240"/>
      <c r="DL88" s="240"/>
      <c r="DM88" s="240"/>
      <c r="DN88" s="240"/>
      <c r="DO88" s="240"/>
      <c r="DP88" s="240"/>
      <c r="DQ88" s="240"/>
      <c r="DR88" s="238"/>
      <c r="DS88" s="240"/>
      <c r="DT88" s="240"/>
      <c r="DU88" s="240"/>
      <c r="DV88" s="238"/>
      <c r="DW88" s="240"/>
      <c r="DX88" s="240"/>
      <c r="DY88" s="240"/>
      <c r="DZ88" s="240"/>
      <c r="EA88" s="240"/>
      <c r="EB88" s="240"/>
      <c r="EC88" s="240"/>
      <c r="ED88" s="240"/>
      <c r="EE88" s="240"/>
      <c r="EF88" s="238"/>
      <c r="EG88" s="240"/>
      <c r="EH88" s="240"/>
      <c r="EI88" s="240"/>
      <c r="EJ88" s="238"/>
      <c r="EK88" s="240"/>
      <c r="EL88" s="238"/>
      <c r="EM88" s="240"/>
      <c r="EN88" s="240"/>
      <c r="EO88" s="240"/>
      <c r="EP88" s="240"/>
      <c r="EQ88" s="240"/>
      <c r="ER88" s="240"/>
      <c r="ES88" s="240"/>
      <c r="ET88" s="240"/>
      <c r="EU88" s="240"/>
      <c r="EV88" s="240"/>
      <c r="EW88" s="240"/>
      <c r="EX88" s="238"/>
      <c r="EY88" s="240"/>
      <c r="EZ88" s="240"/>
      <c r="FA88" s="240"/>
      <c r="FB88" s="240"/>
      <c r="FC88" s="240"/>
      <c r="FD88" s="240"/>
      <c r="FE88" s="240"/>
      <c r="FF88" s="240"/>
      <c r="FG88" s="240"/>
      <c r="FH88" s="240"/>
      <c r="FI88" s="240"/>
      <c r="FJ88" s="240"/>
      <c r="FK88" s="240"/>
      <c r="FL88" s="240"/>
      <c r="FM88" s="240"/>
      <c r="FN88" s="240"/>
      <c r="FO88" s="238"/>
      <c r="FP88" s="240"/>
      <c r="FQ88" s="240"/>
      <c r="FR88" s="240"/>
      <c r="FS88" s="240"/>
      <c r="FT88" s="240"/>
      <c r="FU88" s="240"/>
      <c r="FV88" s="240"/>
      <c r="FW88" s="240"/>
      <c r="FX88" s="240"/>
      <c r="FY88" s="240"/>
      <c r="FZ88" s="238"/>
      <c r="GA88" s="240"/>
      <c r="GB88" s="240"/>
      <c r="GC88" s="238"/>
      <c r="GD88" s="240"/>
      <c r="GE88" s="240"/>
      <c r="GF88" s="240"/>
      <c r="GG88" s="240"/>
      <c r="GH88" s="238"/>
      <c r="GI88" s="240"/>
      <c r="GJ88" s="240"/>
      <c r="GK88" s="240"/>
      <c r="GL88" s="240"/>
      <c r="GM88" s="238"/>
      <c r="GN88" s="240"/>
      <c r="GO88" s="240"/>
      <c r="GP88" s="240"/>
      <c r="GQ88" s="240"/>
      <c r="GR88" s="240"/>
      <c r="GS88" s="240"/>
      <c r="GT88" s="240"/>
      <c r="GU88" s="240"/>
      <c r="GV88" s="240"/>
      <c r="GW88" s="240"/>
      <c r="GX88" s="240"/>
      <c r="GY88" s="240"/>
      <c r="GZ88" s="240"/>
      <c r="HA88" s="240"/>
      <c r="HB88" s="240"/>
      <c r="HC88" s="240"/>
      <c r="HD88" s="238"/>
      <c r="HE88" s="240"/>
      <c r="HF88" s="240"/>
      <c r="HG88" s="240"/>
      <c r="HH88" s="240"/>
      <c r="HI88" s="240"/>
      <c r="HJ88" s="238"/>
      <c r="HK88" s="240"/>
      <c r="HL88" s="238"/>
      <c r="HM88" s="241"/>
      <c r="HN88" s="235"/>
      <c r="HO88" s="235"/>
      <c r="HP88" s="235"/>
      <c r="HQ88" s="235"/>
    </row>
    <row r="89" spans="2:225" ht="56.25" hidden="1" outlineLevel="3">
      <c r="B89" s="251" t="s">
        <v>1782</v>
      </c>
      <c r="C89" s="252" t="str">
        <f>IF(E84='3. Dropdowns'!C113,"Hide",IF(E66='3. Dropdowns'!C111,"Hide","Show"))</f>
        <v>Show</v>
      </c>
      <c r="D89" s="283" t="s">
        <v>3199</v>
      </c>
      <c r="E89" s="248"/>
      <c r="F89" s="284" t="str">
        <f>IF(E89='3. Dropdowns'!C115,"","Execution")</f>
        <v>Execution</v>
      </c>
      <c r="G89" s="268"/>
      <c r="H89" s="238"/>
      <c r="I89" s="239" t="s">
        <v>890</v>
      </c>
      <c r="J89" s="240"/>
      <c r="K89" s="240"/>
      <c r="L89" s="240"/>
      <c r="M89" s="240"/>
      <c r="N89" s="240"/>
      <c r="O89" s="240"/>
      <c r="P89" s="240"/>
      <c r="Q89" s="240"/>
      <c r="R89" s="240"/>
      <c r="S89" s="240"/>
      <c r="T89" s="240" t="s">
        <v>890</v>
      </c>
      <c r="U89" s="240"/>
      <c r="V89" s="240"/>
      <c r="W89" s="240"/>
      <c r="X89" s="238"/>
      <c r="Y89" s="240"/>
      <c r="Z89" s="240"/>
      <c r="AA89" s="240"/>
      <c r="AB89" s="240"/>
      <c r="AC89" s="240"/>
      <c r="AD89" s="240"/>
      <c r="AE89" s="240"/>
      <c r="AF89" s="240"/>
      <c r="AG89" s="240"/>
      <c r="AH89" s="238"/>
      <c r="AI89" s="240"/>
      <c r="AJ89" s="240"/>
      <c r="AK89" s="240"/>
      <c r="AL89" s="240"/>
      <c r="AM89" s="238"/>
      <c r="AN89" s="240"/>
      <c r="AO89" s="240"/>
      <c r="AP89" s="240"/>
      <c r="AQ89" s="238"/>
      <c r="AR89" s="240"/>
      <c r="AS89" s="240"/>
      <c r="AT89" s="240"/>
      <c r="AU89" s="240"/>
      <c r="AV89" s="240"/>
      <c r="AW89" s="240"/>
      <c r="AX89" s="240"/>
      <c r="AY89" s="240"/>
      <c r="AZ89" s="238"/>
      <c r="BA89" s="240"/>
      <c r="BB89" s="240"/>
      <c r="BC89" s="240"/>
      <c r="BD89" s="240"/>
      <c r="BE89" s="240"/>
      <c r="BF89" s="240"/>
      <c r="BG89" s="240"/>
      <c r="BH89" s="240"/>
      <c r="BI89" s="240"/>
      <c r="BJ89" s="240"/>
      <c r="BK89" s="240"/>
      <c r="BL89" s="240"/>
      <c r="BM89" s="240"/>
      <c r="BN89" s="240"/>
      <c r="BO89" s="240"/>
      <c r="BP89" s="238"/>
      <c r="BQ89" s="240"/>
      <c r="BR89" s="240"/>
      <c r="BS89" s="240"/>
      <c r="BT89" s="240"/>
      <c r="BU89" s="240"/>
      <c r="BV89" s="240"/>
      <c r="BW89" s="240"/>
      <c r="BX89" s="240"/>
      <c r="BY89" s="240"/>
      <c r="BZ89" s="240"/>
      <c r="CA89" s="240"/>
      <c r="CB89" s="240" t="s">
        <v>890</v>
      </c>
      <c r="CC89" s="240" t="s">
        <v>890</v>
      </c>
      <c r="CD89" s="240"/>
      <c r="CE89" s="240"/>
      <c r="CF89" s="238"/>
      <c r="CG89" s="240"/>
      <c r="CH89" s="240"/>
      <c r="CI89" s="240"/>
      <c r="CJ89" s="240"/>
      <c r="CK89" s="240"/>
      <c r="CL89" s="240"/>
      <c r="CM89" s="240"/>
      <c r="CN89" s="240"/>
      <c r="CO89" s="240"/>
      <c r="CP89" s="240"/>
      <c r="CQ89" s="240"/>
      <c r="CR89" s="240"/>
      <c r="CS89" s="238"/>
      <c r="CT89" s="240"/>
      <c r="CU89" s="240"/>
      <c r="CV89" s="240"/>
      <c r="CW89" s="240"/>
      <c r="CX89" s="240"/>
      <c r="CY89" s="240"/>
      <c r="CZ89" s="240"/>
      <c r="DA89" s="240"/>
      <c r="DB89" s="240"/>
      <c r="DC89" s="240"/>
      <c r="DD89" s="240"/>
      <c r="DE89" s="240"/>
      <c r="DF89" s="238"/>
      <c r="DG89" s="240"/>
      <c r="DH89" s="240"/>
      <c r="DI89" s="240"/>
      <c r="DJ89" s="240"/>
      <c r="DK89" s="240"/>
      <c r="DL89" s="240"/>
      <c r="DM89" s="240"/>
      <c r="DN89" s="240"/>
      <c r="DO89" s="240"/>
      <c r="DP89" s="240"/>
      <c r="DQ89" s="240"/>
      <c r="DR89" s="238"/>
      <c r="DS89" s="240"/>
      <c r="DT89" s="240"/>
      <c r="DU89" s="240"/>
      <c r="DV89" s="238"/>
      <c r="DW89" s="240"/>
      <c r="DX89" s="240"/>
      <c r="DY89" s="240"/>
      <c r="DZ89" s="240"/>
      <c r="EA89" s="240"/>
      <c r="EB89" s="240"/>
      <c r="EC89" s="240"/>
      <c r="ED89" s="240"/>
      <c r="EE89" s="240"/>
      <c r="EF89" s="238"/>
      <c r="EG89" s="240"/>
      <c r="EH89" s="240"/>
      <c r="EI89" s="240"/>
      <c r="EJ89" s="238"/>
      <c r="EK89" s="240"/>
      <c r="EL89" s="238"/>
      <c r="EM89" s="240"/>
      <c r="EN89" s="240"/>
      <c r="EO89" s="240"/>
      <c r="EP89" s="240"/>
      <c r="EQ89" s="240"/>
      <c r="ER89" s="240"/>
      <c r="ES89" s="240"/>
      <c r="ET89" s="240"/>
      <c r="EU89" s="240"/>
      <c r="EV89" s="240"/>
      <c r="EW89" s="240"/>
      <c r="EX89" s="238"/>
      <c r="EY89" s="240"/>
      <c r="EZ89" s="240"/>
      <c r="FA89" s="240"/>
      <c r="FB89" s="240"/>
      <c r="FC89" s="240"/>
      <c r="FD89" s="240"/>
      <c r="FE89" s="240"/>
      <c r="FF89" s="240"/>
      <c r="FG89" s="240"/>
      <c r="FH89" s="240"/>
      <c r="FI89" s="240"/>
      <c r="FJ89" s="240"/>
      <c r="FK89" s="240"/>
      <c r="FL89" s="240"/>
      <c r="FM89" s="240"/>
      <c r="FN89" s="240"/>
      <c r="FO89" s="238"/>
      <c r="FP89" s="240"/>
      <c r="FQ89" s="240"/>
      <c r="FR89" s="240"/>
      <c r="FS89" s="240"/>
      <c r="FT89" s="240"/>
      <c r="FU89" s="240"/>
      <c r="FV89" s="240"/>
      <c r="FW89" s="240"/>
      <c r="FX89" s="240"/>
      <c r="FY89" s="240"/>
      <c r="FZ89" s="238"/>
      <c r="GA89" s="240"/>
      <c r="GB89" s="240"/>
      <c r="GC89" s="238"/>
      <c r="GD89" s="240"/>
      <c r="GE89" s="240"/>
      <c r="GF89" s="240"/>
      <c r="GG89" s="240"/>
      <c r="GH89" s="238"/>
      <c r="GI89" s="240"/>
      <c r="GJ89" s="240"/>
      <c r="GK89" s="240"/>
      <c r="GL89" s="240"/>
      <c r="GM89" s="238"/>
      <c r="GN89" s="240"/>
      <c r="GO89" s="240"/>
      <c r="GP89" s="240"/>
      <c r="GQ89" s="240"/>
      <c r="GR89" s="240"/>
      <c r="GS89" s="240"/>
      <c r="GT89" s="240"/>
      <c r="GU89" s="240"/>
      <c r="GV89" s="240"/>
      <c r="GW89" s="240"/>
      <c r="GX89" s="240"/>
      <c r="GY89" s="240"/>
      <c r="GZ89" s="240"/>
      <c r="HA89" s="240"/>
      <c r="HB89" s="240"/>
      <c r="HC89" s="240"/>
      <c r="HD89" s="238"/>
      <c r="HE89" s="240"/>
      <c r="HF89" s="240"/>
      <c r="HG89" s="240"/>
      <c r="HH89" s="240"/>
      <c r="HI89" s="240"/>
      <c r="HJ89" s="238"/>
      <c r="HK89" s="240"/>
      <c r="HL89" s="238"/>
      <c r="HM89" s="241"/>
      <c r="HN89" s="235"/>
      <c r="HO89" s="235"/>
      <c r="HP89" s="235"/>
      <c r="HQ89" s="235"/>
    </row>
    <row r="90" spans="2:225" ht="56.25" hidden="1" outlineLevel="3">
      <c r="B90" s="251" t="s">
        <v>1782</v>
      </c>
      <c r="C90" s="252" t="str">
        <f>IF(E84='3. Dropdowns'!C113,"Hide",IF(E66='3. Dropdowns'!C111,"Hide","Show"))</f>
        <v>Show</v>
      </c>
      <c r="D90" s="283" t="s">
        <v>3200</v>
      </c>
      <c r="E90" s="248"/>
      <c r="F90" s="284" t="str">
        <f>IF(E90='3. Dropdowns'!C115,"","Execution")</f>
        <v>Execution</v>
      </c>
      <c r="G90" s="268"/>
      <c r="H90" s="238"/>
      <c r="I90" s="239" t="s">
        <v>890</v>
      </c>
      <c r="J90" s="240"/>
      <c r="K90" s="240"/>
      <c r="L90" s="240"/>
      <c r="M90" s="240"/>
      <c r="N90" s="240"/>
      <c r="O90" s="240"/>
      <c r="P90" s="240"/>
      <c r="Q90" s="240"/>
      <c r="R90" s="240"/>
      <c r="S90" s="240"/>
      <c r="T90" s="240" t="s">
        <v>890</v>
      </c>
      <c r="U90" s="240"/>
      <c r="V90" s="240"/>
      <c r="W90" s="240"/>
      <c r="X90" s="238"/>
      <c r="Y90" s="240"/>
      <c r="Z90" s="240"/>
      <c r="AA90" s="240"/>
      <c r="AB90" s="240"/>
      <c r="AC90" s="240"/>
      <c r="AD90" s="240"/>
      <c r="AE90" s="240"/>
      <c r="AF90" s="240"/>
      <c r="AG90" s="240"/>
      <c r="AH90" s="238"/>
      <c r="AI90" s="240"/>
      <c r="AJ90" s="240"/>
      <c r="AK90" s="240"/>
      <c r="AL90" s="240"/>
      <c r="AM90" s="238"/>
      <c r="AN90" s="240"/>
      <c r="AO90" s="240"/>
      <c r="AP90" s="240"/>
      <c r="AQ90" s="238"/>
      <c r="AR90" s="240"/>
      <c r="AS90" s="240"/>
      <c r="AT90" s="240"/>
      <c r="AU90" s="240"/>
      <c r="AV90" s="240"/>
      <c r="AW90" s="240"/>
      <c r="AX90" s="240"/>
      <c r="AY90" s="240"/>
      <c r="AZ90" s="238"/>
      <c r="BA90" s="240" t="s">
        <v>890</v>
      </c>
      <c r="BB90" s="240"/>
      <c r="BC90" s="240"/>
      <c r="BD90" s="240"/>
      <c r="BE90" s="240"/>
      <c r="BF90" s="240"/>
      <c r="BG90" s="240"/>
      <c r="BH90" s="240"/>
      <c r="BI90" s="240"/>
      <c r="BJ90" s="240"/>
      <c r="BK90" s="240"/>
      <c r="BL90" s="240"/>
      <c r="BM90" s="240"/>
      <c r="BN90" s="240"/>
      <c r="BO90" s="240"/>
      <c r="BP90" s="238"/>
      <c r="BQ90" s="240"/>
      <c r="BR90" s="240"/>
      <c r="BS90" s="240"/>
      <c r="BT90" s="240"/>
      <c r="BU90" s="240"/>
      <c r="BV90" s="240"/>
      <c r="BW90" s="240"/>
      <c r="BX90" s="240"/>
      <c r="BY90" s="240"/>
      <c r="BZ90" s="240"/>
      <c r="CA90" s="240"/>
      <c r="CB90" s="240" t="s">
        <v>890</v>
      </c>
      <c r="CC90" s="240" t="s">
        <v>890</v>
      </c>
      <c r="CD90" s="240"/>
      <c r="CE90" s="240"/>
      <c r="CF90" s="238"/>
      <c r="CG90" s="240"/>
      <c r="CH90" s="240"/>
      <c r="CI90" s="240"/>
      <c r="CJ90" s="240"/>
      <c r="CK90" s="240"/>
      <c r="CL90" s="240"/>
      <c r="CM90" s="240"/>
      <c r="CN90" s="240"/>
      <c r="CO90" s="240"/>
      <c r="CP90" s="240"/>
      <c r="CQ90" s="240"/>
      <c r="CR90" s="240"/>
      <c r="CS90" s="238"/>
      <c r="CT90" s="240"/>
      <c r="CU90" s="240"/>
      <c r="CV90" s="240"/>
      <c r="CW90" s="240"/>
      <c r="CX90" s="240"/>
      <c r="CY90" s="240"/>
      <c r="CZ90" s="240"/>
      <c r="DA90" s="240"/>
      <c r="DB90" s="240"/>
      <c r="DC90" s="240"/>
      <c r="DD90" s="240"/>
      <c r="DE90" s="240"/>
      <c r="DF90" s="238"/>
      <c r="DG90" s="240"/>
      <c r="DH90" s="240"/>
      <c r="DI90" s="240"/>
      <c r="DJ90" s="240"/>
      <c r="DK90" s="240"/>
      <c r="DL90" s="240"/>
      <c r="DM90" s="240"/>
      <c r="DN90" s="240"/>
      <c r="DO90" s="240"/>
      <c r="DP90" s="240"/>
      <c r="DQ90" s="240"/>
      <c r="DR90" s="238"/>
      <c r="DS90" s="240"/>
      <c r="DT90" s="240"/>
      <c r="DU90" s="240"/>
      <c r="DV90" s="238"/>
      <c r="DW90" s="240"/>
      <c r="DX90" s="240"/>
      <c r="DY90" s="240"/>
      <c r="DZ90" s="240"/>
      <c r="EA90" s="240"/>
      <c r="EB90" s="240"/>
      <c r="EC90" s="240"/>
      <c r="ED90" s="240"/>
      <c r="EE90" s="240"/>
      <c r="EF90" s="238"/>
      <c r="EG90" s="240"/>
      <c r="EH90" s="240"/>
      <c r="EI90" s="240"/>
      <c r="EJ90" s="238"/>
      <c r="EK90" s="240"/>
      <c r="EL90" s="238"/>
      <c r="EM90" s="240"/>
      <c r="EN90" s="240"/>
      <c r="EO90" s="240"/>
      <c r="EP90" s="240"/>
      <c r="EQ90" s="240"/>
      <c r="ER90" s="240"/>
      <c r="ES90" s="240"/>
      <c r="ET90" s="240"/>
      <c r="EU90" s="240"/>
      <c r="EV90" s="240"/>
      <c r="EW90" s="240"/>
      <c r="EX90" s="238"/>
      <c r="EY90" s="240"/>
      <c r="EZ90" s="240"/>
      <c r="FA90" s="240"/>
      <c r="FB90" s="240"/>
      <c r="FC90" s="240"/>
      <c r="FD90" s="240"/>
      <c r="FE90" s="240"/>
      <c r="FF90" s="240"/>
      <c r="FG90" s="240"/>
      <c r="FH90" s="240"/>
      <c r="FI90" s="240"/>
      <c r="FJ90" s="240"/>
      <c r="FK90" s="240"/>
      <c r="FL90" s="240"/>
      <c r="FM90" s="240"/>
      <c r="FN90" s="240"/>
      <c r="FO90" s="238"/>
      <c r="FP90" s="240"/>
      <c r="FQ90" s="240"/>
      <c r="FR90" s="240"/>
      <c r="FS90" s="240"/>
      <c r="FT90" s="240"/>
      <c r="FU90" s="240"/>
      <c r="FV90" s="240"/>
      <c r="FW90" s="240"/>
      <c r="FX90" s="240"/>
      <c r="FY90" s="240"/>
      <c r="FZ90" s="238"/>
      <c r="GA90" s="240"/>
      <c r="GB90" s="240"/>
      <c r="GC90" s="238"/>
      <c r="GD90" s="240"/>
      <c r="GE90" s="240"/>
      <c r="GF90" s="240"/>
      <c r="GG90" s="240"/>
      <c r="GH90" s="238"/>
      <c r="GI90" s="240"/>
      <c r="GJ90" s="240"/>
      <c r="GK90" s="240"/>
      <c r="GL90" s="240"/>
      <c r="GM90" s="238"/>
      <c r="GN90" s="240"/>
      <c r="GO90" s="240"/>
      <c r="GP90" s="240"/>
      <c r="GQ90" s="240"/>
      <c r="GR90" s="240"/>
      <c r="GS90" s="240"/>
      <c r="GT90" s="240"/>
      <c r="GU90" s="240"/>
      <c r="GV90" s="240"/>
      <c r="GW90" s="240"/>
      <c r="GX90" s="240"/>
      <c r="GY90" s="240"/>
      <c r="GZ90" s="240"/>
      <c r="HA90" s="240"/>
      <c r="HB90" s="240"/>
      <c r="HC90" s="240"/>
      <c r="HD90" s="238"/>
      <c r="HE90" s="240"/>
      <c r="HF90" s="240"/>
      <c r="HG90" s="240"/>
      <c r="HH90" s="240"/>
      <c r="HI90" s="240"/>
      <c r="HJ90" s="238"/>
      <c r="HK90" s="240"/>
      <c r="HL90" s="238"/>
      <c r="HM90" s="241"/>
      <c r="HN90" s="235"/>
      <c r="HO90" s="235"/>
      <c r="HP90" s="235"/>
      <c r="HQ90" s="235"/>
    </row>
    <row r="91" spans="2:225" ht="56.25" hidden="1" outlineLevel="3">
      <c r="B91" s="251" t="s">
        <v>1782</v>
      </c>
      <c r="C91" s="252" t="str">
        <f>IF(E84='3. Dropdowns'!C113,"Hide",IF(E66='3. Dropdowns'!C111,"Hide","Show"))</f>
        <v>Show</v>
      </c>
      <c r="D91" s="283" t="s">
        <v>3201</v>
      </c>
      <c r="E91" s="248"/>
      <c r="F91" s="284" t="str">
        <f>IF(E91='3. Dropdowns'!C115,"","Products, Execution")</f>
        <v>Products, Execution</v>
      </c>
      <c r="G91" s="268"/>
      <c r="H91" s="238"/>
      <c r="I91" s="239" t="s">
        <v>890</v>
      </c>
      <c r="J91" s="240"/>
      <c r="K91" s="240"/>
      <c r="L91" s="240"/>
      <c r="M91" s="240"/>
      <c r="N91" s="240"/>
      <c r="O91" s="240"/>
      <c r="P91" s="240"/>
      <c r="Q91" s="240"/>
      <c r="R91" s="240"/>
      <c r="S91" s="240"/>
      <c r="T91" s="240" t="s">
        <v>890</v>
      </c>
      <c r="U91" s="240"/>
      <c r="V91" s="240"/>
      <c r="W91" s="240"/>
      <c r="X91" s="238"/>
      <c r="Y91" s="240"/>
      <c r="Z91" s="240"/>
      <c r="AA91" s="240"/>
      <c r="AB91" s="240"/>
      <c r="AC91" s="240"/>
      <c r="AD91" s="240"/>
      <c r="AE91" s="240"/>
      <c r="AF91" s="240"/>
      <c r="AG91" s="240"/>
      <c r="AH91" s="238"/>
      <c r="AI91" s="240"/>
      <c r="AJ91" s="240"/>
      <c r="AK91" s="240"/>
      <c r="AL91" s="240"/>
      <c r="AM91" s="238"/>
      <c r="AN91" s="240"/>
      <c r="AO91" s="240"/>
      <c r="AP91" s="240"/>
      <c r="AQ91" s="238"/>
      <c r="AR91" s="240"/>
      <c r="AS91" s="240"/>
      <c r="AT91" s="240"/>
      <c r="AU91" s="240"/>
      <c r="AV91" s="240"/>
      <c r="AW91" s="240"/>
      <c r="AX91" s="240"/>
      <c r="AY91" s="240"/>
      <c r="AZ91" s="238"/>
      <c r="BA91" s="240" t="s">
        <v>890</v>
      </c>
      <c r="BB91" s="240"/>
      <c r="BC91" s="240"/>
      <c r="BD91" s="240"/>
      <c r="BE91" s="240"/>
      <c r="BF91" s="240"/>
      <c r="BG91" s="240"/>
      <c r="BH91" s="240"/>
      <c r="BI91" s="240"/>
      <c r="BJ91" s="240"/>
      <c r="BK91" s="240"/>
      <c r="BL91" s="240"/>
      <c r="BM91" s="240"/>
      <c r="BN91" s="240"/>
      <c r="BO91" s="240"/>
      <c r="BP91" s="238"/>
      <c r="BQ91" s="240"/>
      <c r="BR91" s="240"/>
      <c r="BS91" s="240"/>
      <c r="BT91" s="240"/>
      <c r="BU91" s="240"/>
      <c r="BV91" s="240"/>
      <c r="BW91" s="240"/>
      <c r="BX91" s="240"/>
      <c r="BY91" s="240"/>
      <c r="BZ91" s="240"/>
      <c r="CA91" s="240"/>
      <c r="CB91" s="240" t="s">
        <v>890</v>
      </c>
      <c r="CC91" s="240"/>
      <c r="CD91" s="240"/>
      <c r="CE91" s="240"/>
      <c r="CF91" s="238"/>
      <c r="CG91" s="240"/>
      <c r="CH91" s="240"/>
      <c r="CI91" s="240"/>
      <c r="CJ91" s="240"/>
      <c r="CK91" s="240"/>
      <c r="CL91" s="240"/>
      <c r="CM91" s="240"/>
      <c r="CN91" s="240"/>
      <c r="CO91" s="240"/>
      <c r="CP91" s="240"/>
      <c r="CQ91" s="240"/>
      <c r="CR91" s="240"/>
      <c r="CS91" s="238"/>
      <c r="CT91" s="240"/>
      <c r="CU91" s="240"/>
      <c r="CV91" s="240"/>
      <c r="CW91" s="240"/>
      <c r="CX91" s="240"/>
      <c r="CY91" s="240"/>
      <c r="CZ91" s="240"/>
      <c r="DA91" s="240"/>
      <c r="DB91" s="240"/>
      <c r="DC91" s="240"/>
      <c r="DD91" s="240"/>
      <c r="DE91" s="240"/>
      <c r="DF91" s="238"/>
      <c r="DG91" s="240"/>
      <c r="DH91" s="240"/>
      <c r="DI91" s="240"/>
      <c r="DJ91" s="240"/>
      <c r="DK91" s="240"/>
      <c r="DL91" s="240"/>
      <c r="DM91" s="240"/>
      <c r="DN91" s="240"/>
      <c r="DO91" s="240"/>
      <c r="DP91" s="240"/>
      <c r="DQ91" s="240"/>
      <c r="DR91" s="238"/>
      <c r="DS91" s="240"/>
      <c r="DT91" s="240"/>
      <c r="DU91" s="240"/>
      <c r="DV91" s="238"/>
      <c r="DW91" s="240"/>
      <c r="DX91" s="240"/>
      <c r="DY91" s="240"/>
      <c r="DZ91" s="240"/>
      <c r="EA91" s="240"/>
      <c r="EB91" s="240"/>
      <c r="EC91" s="240"/>
      <c r="ED91" s="240"/>
      <c r="EE91" s="240"/>
      <c r="EF91" s="238"/>
      <c r="EG91" s="240"/>
      <c r="EH91" s="240"/>
      <c r="EI91" s="240"/>
      <c r="EJ91" s="238"/>
      <c r="EK91" s="240"/>
      <c r="EL91" s="238"/>
      <c r="EM91" s="240"/>
      <c r="EN91" s="240"/>
      <c r="EO91" s="240"/>
      <c r="EP91" s="240"/>
      <c r="EQ91" s="240"/>
      <c r="ER91" s="240"/>
      <c r="ES91" s="240"/>
      <c r="ET91" s="240"/>
      <c r="EU91" s="240"/>
      <c r="EV91" s="240"/>
      <c r="EW91" s="240"/>
      <c r="EX91" s="238"/>
      <c r="EY91" s="240"/>
      <c r="EZ91" s="240"/>
      <c r="FA91" s="240"/>
      <c r="FB91" s="240"/>
      <c r="FC91" s="240"/>
      <c r="FD91" s="240"/>
      <c r="FE91" s="240"/>
      <c r="FF91" s="240"/>
      <c r="FG91" s="240"/>
      <c r="FH91" s="240"/>
      <c r="FI91" s="240"/>
      <c r="FJ91" s="240"/>
      <c r="FK91" s="240"/>
      <c r="FL91" s="240"/>
      <c r="FM91" s="240"/>
      <c r="FN91" s="240"/>
      <c r="FO91" s="238"/>
      <c r="FP91" s="240"/>
      <c r="FQ91" s="240"/>
      <c r="FR91" s="240"/>
      <c r="FS91" s="240"/>
      <c r="FT91" s="240"/>
      <c r="FU91" s="240"/>
      <c r="FV91" s="240"/>
      <c r="FW91" s="240"/>
      <c r="FX91" s="240"/>
      <c r="FY91" s="240"/>
      <c r="FZ91" s="238"/>
      <c r="GA91" s="240"/>
      <c r="GB91" s="240"/>
      <c r="GC91" s="238"/>
      <c r="GD91" s="240"/>
      <c r="GE91" s="240"/>
      <c r="GF91" s="240"/>
      <c r="GG91" s="240"/>
      <c r="GH91" s="238"/>
      <c r="GI91" s="240"/>
      <c r="GJ91" s="240"/>
      <c r="GK91" s="240"/>
      <c r="GL91" s="240"/>
      <c r="GM91" s="238"/>
      <c r="GN91" s="240"/>
      <c r="GO91" s="240"/>
      <c r="GP91" s="240"/>
      <c r="GQ91" s="240"/>
      <c r="GR91" s="240"/>
      <c r="GS91" s="240"/>
      <c r="GT91" s="240"/>
      <c r="GU91" s="240"/>
      <c r="GV91" s="240"/>
      <c r="GW91" s="240"/>
      <c r="GX91" s="240"/>
      <c r="GY91" s="240"/>
      <c r="GZ91" s="240"/>
      <c r="HA91" s="240"/>
      <c r="HB91" s="240"/>
      <c r="HC91" s="240"/>
      <c r="HD91" s="238"/>
      <c r="HE91" s="240"/>
      <c r="HF91" s="240"/>
      <c r="HG91" s="240"/>
      <c r="HH91" s="240"/>
      <c r="HI91" s="240"/>
      <c r="HJ91" s="238"/>
      <c r="HK91" s="240"/>
      <c r="HL91" s="238"/>
      <c r="HM91" s="241"/>
      <c r="HN91" s="235"/>
      <c r="HO91" s="235"/>
      <c r="HP91" s="235"/>
      <c r="HQ91" s="235"/>
    </row>
    <row r="92" spans="2:225" ht="37.5" hidden="1" outlineLevel="2" collapsed="1">
      <c r="B92" s="251" t="s">
        <v>713</v>
      </c>
      <c r="C92" s="252" t="str">
        <f>IF(E66='3. Dropdowns'!C111,"Hide",IF(E66='3. Dropdowns'!C111,"Hide","Show"))</f>
        <v>Show</v>
      </c>
      <c r="D92" s="283" t="s">
        <v>3202</v>
      </c>
      <c r="E92" s="248"/>
      <c r="F92" s="284" t="str">
        <f>IF(E92='3. Dropdowns'!C113,"","Submittals, Products, Execution")</f>
        <v>Submittals, Products, Execution</v>
      </c>
      <c r="G92" s="268"/>
      <c r="H92" s="238"/>
      <c r="I92" s="239" t="s">
        <v>890</v>
      </c>
      <c r="J92" s="240"/>
      <c r="K92" s="240"/>
      <c r="L92" s="240"/>
      <c r="M92" s="240"/>
      <c r="N92" s="240"/>
      <c r="O92" s="240"/>
      <c r="P92" s="240"/>
      <c r="Q92" s="240"/>
      <c r="R92" s="240"/>
      <c r="S92" s="240"/>
      <c r="T92" s="240" t="s">
        <v>890</v>
      </c>
      <c r="U92" s="240"/>
      <c r="V92" s="240"/>
      <c r="W92" s="240"/>
      <c r="X92" s="238"/>
      <c r="Y92" s="240"/>
      <c r="Z92" s="240"/>
      <c r="AA92" s="240"/>
      <c r="AB92" s="240"/>
      <c r="AC92" s="240"/>
      <c r="AD92" s="240"/>
      <c r="AE92" s="240"/>
      <c r="AF92" s="240"/>
      <c r="AG92" s="240"/>
      <c r="AH92" s="238"/>
      <c r="AI92" s="240"/>
      <c r="AJ92" s="240"/>
      <c r="AK92" s="240"/>
      <c r="AL92" s="240"/>
      <c r="AM92" s="238"/>
      <c r="AN92" s="240"/>
      <c r="AO92" s="240"/>
      <c r="AP92" s="240"/>
      <c r="AQ92" s="238"/>
      <c r="AR92" s="240"/>
      <c r="AS92" s="240"/>
      <c r="AT92" s="240"/>
      <c r="AU92" s="240"/>
      <c r="AV92" s="240"/>
      <c r="AW92" s="240"/>
      <c r="AX92" s="240"/>
      <c r="AY92" s="240"/>
      <c r="AZ92" s="238"/>
      <c r="BA92" s="240" t="s">
        <v>890</v>
      </c>
      <c r="BB92" s="240"/>
      <c r="BC92" s="240"/>
      <c r="BD92" s="240"/>
      <c r="BE92" s="240" t="s">
        <v>890</v>
      </c>
      <c r="BF92" s="240" t="s">
        <v>890</v>
      </c>
      <c r="BG92" s="240" t="s">
        <v>890</v>
      </c>
      <c r="BH92" s="240" t="s">
        <v>890</v>
      </c>
      <c r="BI92" s="240"/>
      <c r="BJ92" s="240" t="s">
        <v>890</v>
      </c>
      <c r="BK92" s="240"/>
      <c r="BL92" s="240"/>
      <c r="BM92" s="240"/>
      <c r="BN92" s="240"/>
      <c r="BO92" s="240"/>
      <c r="BP92" s="238"/>
      <c r="BQ92" s="240"/>
      <c r="BR92" s="240"/>
      <c r="BS92" s="240"/>
      <c r="BT92" s="240"/>
      <c r="BU92" s="240"/>
      <c r="BV92" s="240"/>
      <c r="BW92" s="240"/>
      <c r="BX92" s="240"/>
      <c r="BY92" s="240"/>
      <c r="BZ92" s="240"/>
      <c r="CA92" s="240"/>
      <c r="CB92" s="240"/>
      <c r="CC92" s="240"/>
      <c r="CD92" s="240"/>
      <c r="CE92" s="240"/>
      <c r="CF92" s="238"/>
      <c r="CG92" s="240"/>
      <c r="CH92" s="240"/>
      <c r="CI92" s="240"/>
      <c r="CJ92" s="240"/>
      <c r="CK92" s="240"/>
      <c r="CL92" s="240"/>
      <c r="CM92" s="240"/>
      <c r="CN92" s="240"/>
      <c r="CO92" s="240"/>
      <c r="CP92" s="240"/>
      <c r="CQ92" s="240"/>
      <c r="CR92" s="240"/>
      <c r="CS92" s="238"/>
      <c r="CT92" s="240"/>
      <c r="CU92" s="240"/>
      <c r="CV92" s="240"/>
      <c r="CW92" s="240"/>
      <c r="CX92" s="240"/>
      <c r="CY92" s="240"/>
      <c r="CZ92" s="240"/>
      <c r="DA92" s="240"/>
      <c r="DB92" s="240"/>
      <c r="DC92" s="240"/>
      <c r="DD92" s="240"/>
      <c r="DE92" s="240"/>
      <c r="DF92" s="238"/>
      <c r="DG92" s="240"/>
      <c r="DH92" s="240"/>
      <c r="DI92" s="240"/>
      <c r="DJ92" s="240"/>
      <c r="DK92" s="240"/>
      <c r="DL92" s="240"/>
      <c r="DM92" s="240"/>
      <c r="DN92" s="240"/>
      <c r="DO92" s="240"/>
      <c r="DP92" s="240"/>
      <c r="DQ92" s="240"/>
      <c r="DR92" s="238"/>
      <c r="DS92" s="240"/>
      <c r="DT92" s="240"/>
      <c r="DU92" s="240"/>
      <c r="DV92" s="238"/>
      <c r="DW92" s="240"/>
      <c r="DX92" s="240"/>
      <c r="DY92" s="240"/>
      <c r="DZ92" s="240"/>
      <c r="EA92" s="240"/>
      <c r="EB92" s="240"/>
      <c r="EC92" s="240"/>
      <c r="ED92" s="240"/>
      <c r="EE92" s="240"/>
      <c r="EF92" s="238"/>
      <c r="EG92" s="240"/>
      <c r="EH92" s="240"/>
      <c r="EI92" s="240"/>
      <c r="EJ92" s="238"/>
      <c r="EK92" s="240"/>
      <c r="EL92" s="238"/>
      <c r="EM92" s="240"/>
      <c r="EN92" s="240"/>
      <c r="EO92" s="240"/>
      <c r="EP92" s="240"/>
      <c r="EQ92" s="240"/>
      <c r="ER92" s="240"/>
      <c r="ES92" s="240"/>
      <c r="ET92" s="240"/>
      <c r="EU92" s="240"/>
      <c r="EV92" s="240"/>
      <c r="EW92" s="240"/>
      <c r="EX92" s="238"/>
      <c r="EY92" s="240"/>
      <c r="EZ92" s="240"/>
      <c r="FA92" s="240"/>
      <c r="FB92" s="240"/>
      <c r="FC92" s="240"/>
      <c r="FD92" s="240"/>
      <c r="FE92" s="240"/>
      <c r="FF92" s="240"/>
      <c r="FG92" s="240"/>
      <c r="FH92" s="240"/>
      <c r="FI92" s="240"/>
      <c r="FJ92" s="240"/>
      <c r="FK92" s="240"/>
      <c r="FL92" s="240"/>
      <c r="FM92" s="240"/>
      <c r="FN92" s="240"/>
      <c r="FO92" s="238"/>
      <c r="FP92" s="240"/>
      <c r="FQ92" s="240"/>
      <c r="FR92" s="240"/>
      <c r="FS92" s="240"/>
      <c r="FT92" s="240"/>
      <c r="FU92" s="240"/>
      <c r="FV92" s="240"/>
      <c r="FW92" s="240"/>
      <c r="FX92" s="240"/>
      <c r="FY92" s="240"/>
      <c r="FZ92" s="238"/>
      <c r="GA92" s="240"/>
      <c r="GB92" s="240"/>
      <c r="GC92" s="238"/>
      <c r="GD92" s="240"/>
      <c r="GE92" s="240"/>
      <c r="GF92" s="240"/>
      <c r="GG92" s="240"/>
      <c r="GH92" s="238"/>
      <c r="GI92" s="240"/>
      <c r="GJ92" s="240"/>
      <c r="GK92" s="240"/>
      <c r="GL92" s="240"/>
      <c r="GM92" s="238"/>
      <c r="GN92" s="240"/>
      <c r="GO92" s="240"/>
      <c r="GP92" s="240"/>
      <c r="GQ92" s="240"/>
      <c r="GR92" s="240"/>
      <c r="GS92" s="240"/>
      <c r="GT92" s="240"/>
      <c r="GU92" s="240"/>
      <c r="GV92" s="240"/>
      <c r="GW92" s="240"/>
      <c r="GX92" s="240"/>
      <c r="GY92" s="240"/>
      <c r="GZ92" s="240"/>
      <c r="HA92" s="240"/>
      <c r="HB92" s="240"/>
      <c r="HC92" s="240"/>
      <c r="HD92" s="238"/>
      <c r="HE92" s="240"/>
      <c r="HF92" s="240"/>
      <c r="HG92" s="240"/>
      <c r="HH92" s="240"/>
      <c r="HI92" s="240"/>
      <c r="HJ92" s="238"/>
      <c r="HK92" s="240"/>
      <c r="HL92" s="238"/>
      <c r="HM92" s="241"/>
      <c r="HN92" s="235"/>
      <c r="HO92" s="235"/>
      <c r="HP92" s="235"/>
      <c r="HQ92" s="235"/>
    </row>
    <row r="93" spans="2:225" ht="37.5" hidden="1" outlineLevel="3">
      <c r="B93" s="251" t="s">
        <v>1783</v>
      </c>
      <c r="C93" s="252" t="str">
        <f>IF(E92='3. Dropdowns'!C113,"Hide",IF(E66='3. Dropdowns'!C111,"Hide","Show"))</f>
        <v>Show</v>
      </c>
      <c r="D93" s="283" t="s">
        <v>3203</v>
      </c>
      <c r="E93" s="248"/>
      <c r="F93" s="284" t="str">
        <f>IF(E93='3. Dropdowns'!C115,"","Execution")</f>
        <v>Execution</v>
      </c>
      <c r="G93" s="268"/>
      <c r="H93" s="238"/>
      <c r="I93" s="239" t="s">
        <v>890</v>
      </c>
      <c r="J93" s="240"/>
      <c r="K93" s="240"/>
      <c r="L93" s="240"/>
      <c r="M93" s="240"/>
      <c r="N93" s="240"/>
      <c r="O93" s="240"/>
      <c r="P93" s="240"/>
      <c r="Q93" s="240"/>
      <c r="R93" s="240"/>
      <c r="S93" s="240"/>
      <c r="T93" s="240" t="s">
        <v>890</v>
      </c>
      <c r="U93" s="240"/>
      <c r="V93" s="240"/>
      <c r="W93" s="240"/>
      <c r="X93" s="238"/>
      <c r="Y93" s="240"/>
      <c r="Z93" s="240"/>
      <c r="AA93" s="240"/>
      <c r="AB93" s="240"/>
      <c r="AC93" s="240"/>
      <c r="AD93" s="240"/>
      <c r="AE93" s="240"/>
      <c r="AF93" s="240"/>
      <c r="AG93" s="240"/>
      <c r="AH93" s="238"/>
      <c r="AI93" s="240"/>
      <c r="AJ93" s="240"/>
      <c r="AK93" s="240"/>
      <c r="AL93" s="240"/>
      <c r="AM93" s="238"/>
      <c r="AN93" s="240"/>
      <c r="AO93" s="240"/>
      <c r="AP93" s="240"/>
      <c r="AQ93" s="238"/>
      <c r="AR93" s="240"/>
      <c r="AS93" s="240"/>
      <c r="AT93" s="240"/>
      <c r="AU93" s="240"/>
      <c r="AV93" s="240"/>
      <c r="AW93" s="240"/>
      <c r="AX93" s="240"/>
      <c r="AY93" s="240"/>
      <c r="AZ93" s="238"/>
      <c r="BA93" s="240"/>
      <c r="BB93" s="240"/>
      <c r="BC93" s="240"/>
      <c r="BD93" s="240"/>
      <c r="BE93" s="240"/>
      <c r="BF93" s="240"/>
      <c r="BG93" s="240"/>
      <c r="BH93" s="240" t="s">
        <v>890</v>
      </c>
      <c r="BI93" s="240"/>
      <c r="BJ93" s="240"/>
      <c r="BK93" s="240"/>
      <c r="BL93" s="240"/>
      <c r="BM93" s="240"/>
      <c r="BN93" s="240"/>
      <c r="BO93" s="240"/>
      <c r="BP93" s="238"/>
      <c r="BQ93" s="240"/>
      <c r="BR93" s="240"/>
      <c r="BS93" s="240"/>
      <c r="BT93" s="240"/>
      <c r="BU93" s="240"/>
      <c r="BV93" s="240"/>
      <c r="BW93" s="240"/>
      <c r="BX93" s="240"/>
      <c r="BY93" s="240"/>
      <c r="BZ93" s="240"/>
      <c r="CA93" s="240"/>
      <c r="CB93" s="240"/>
      <c r="CC93" s="240"/>
      <c r="CD93" s="240"/>
      <c r="CE93" s="240"/>
      <c r="CF93" s="238"/>
      <c r="CG93" s="240"/>
      <c r="CH93" s="240"/>
      <c r="CI93" s="240"/>
      <c r="CJ93" s="240"/>
      <c r="CK93" s="240"/>
      <c r="CL93" s="240"/>
      <c r="CM93" s="240"/>
      <c r="CN93" s="240"/>
      <c r="CO93" s="240"/>
      <c r="CP93" s="240"/>
      <c r="CQ93" s="240"/>
      <c r="CR93" s="240"/>
      <c r="CS93" s="238"/>
      <c r="CT93" s="240"/>
      <c r="CU93" s="240"/>
      <c r="CV93" s="240"/>
      <c r="CW93" s="240"/>
      <c r="CX93" s="240"/>
      <c r="CY93" s="240"/>
      <c r="CZ93" s="240"/>
      <c r="DA93" s="240"/>
      <c r="DB93" s="240"/>
      <c r="DC93" s="240"/>
      <c r="DD93" s="240"/>
      <c r="DE93" s="240"/>
      <c r="DF93" s="238"/>
      <c r="DG93" s="240"/>
      <c r="DH93" s="240"/>
      <c r="DI93" s="240"/>
      <c r="DJ93" s="240"/>
      <c r="DK93" s="240"/>
      <c r="DL93" s="240"/>
      <c r="DM93" s="240"/>
      <c r="DN93" s="240"/>
      <c r="DO93" s="240"/>
      <c r="DP93" s="240"/>
      <c r="DQ93" s="240"/>
      <c r="DR93" s="238"/>
      <c r="DS93" s="240"/>
      <c r="DT93" s="240"/>
      <c r="DU93" s="240"/>
      <c r="DV93" s="238"/>
      <c r="DW93" s="240"/>
      <c r="DX93" s="240"/>
      <c r="DY93" s="240"/>
      <c r="DZ93" s="240"/>
      <c r="EA93" s="240"/>
      <c r="EB93" s="240"/>
      <c r="EC93" s="240"/>
      <c r="ED93" s="240"/>
      <c r="EE93" s="240"/>
      <c r="EF93" s="238"/>
      <c r="EG93" s="240"/>
      <c r="EH93" s="240"/>
      <c r="EI93" s="240"/>
      <c r="EJ93" s="238"/>
      <c r="EK93" s="240"/>
      <c r="EL93" s="238"/>
      <c r="EM93" s="240"/>
      <c r="EN93" s="240"/>
      <c r="EO93" s="240"/>
      <c r="EP93" s="240"/>
      <c r="EQ93" s="240"/>
      <c r="ER93" s="240"/>
      <c r="ES93" s="240"/>
      <c r="ET93" s="240"/>
      <c r="EU93" s="240"/>
      <c r="EV93" s="240"/>
      <c r="EW93" s="240"/>
      <c r="EX93" s="238"/>
      <c r="EY93" s="240"/>
      <c r="EZ93" s="240"/>
      <c r="FA93" s="240"/>
      <c r="FB93" s="240"/>
      <c r="FC93" s="240"/>
      <c r="FD93" s="240"/>
      <c r="FE93" s="240"/>
      <c r="FF93" s="240"/>
      <c r="FG93" s="240"/>
      <c r="FH93" s="240"/>
      <c r="FI93" s="240"/>
      <c r="FJ93" s="240"/>
      <c r="FK93" s="240"/>
      <c r="FL93" s="240"/>
      <c r="FM93" s="240"/>
      <c r="FN93" s="240"/>
      <c r="FO93" s="238"/>
      <c r="FP93" s="240"/>
      <c r="FQ93" s="240"/>
      <c r="FR93" s="240"/>
      <c r="FS93" s="240"/>
      <c r="FT93" s="240"/>
      <c r="FU93" s="240"/>
      <c r="FV93" s="240"/>
      <c r="FW93" s="240"/>
      <c r="FX93" s="240"/>
      <c r="FY93" s="240"/>
      <c r="FZ93" s="238"/>
      <c r="GA93" s="240"/>
      <c r="GB93" s="240"/>
      <c r="GC93" s="238"/>
      <c r="GD93" s="240"/>
      <c r="GE93" s="240"/>
      <c r="GF93" s="240"/>
      <c r="GG93" s="240"/>
      <c r="GH93" s="238"/>
      <c r="GI93" s="240"/>
      <c r="GJ93" s="240"/>
      <c r="GK93" s="240"/>
      <c r="GL93" s="240"/>
      <c r="GM93" s="238"/>
      <c r="GN93" s="240"/>
      <c r="GO93" s="240"/>
      <c r="GP93" s="240"/>
      <c r="GQ93" s="240"/>
      <c r="GR93" s="240"/>
      <c r="GS93" s="240"/>
      <c r="GT93" s="240"/>
      <c r="GU93" s="240"/>
      <c r="GV93" s="240"/>
      <c r="GW93" s="240"/>
      <c r="GX93" s="240"/>
      <c r="GY93" s="240"/>
      <c r="GZ93" s="240"/>
      <c r="HA93" s="240"/>
      <c r="HB93" s="240"/>
      <c r="HC93" s="240"/>
      <c r="HD93" s="238"/>
      <c r="HE93" s="240"/>
      <c r="HF93" s="240"/>
      <c r="HG93" s="240"/>
      <c r="HH93" s="240"/>
      <c r="HI93" s="240"/>
      <c r="HJ93" s="238"/>
      <c r="HK93" s="240"/>
      <c r="HL93" s="238"/>
      <c r="HM93" s="241"/>
      <c r="HN93" s="235"/>
      <c r="HO93" s="235"/>
      <c r="HP93" s="235"/>
      <c r="HQ93" s="235"/>
    </row>
    <row r="94" spans="2:225" ht="37.5" hidden="1" outlineLevel="3">
      <c r="B94" s="251" t="s">
        <v>1783</v>
      </c>
      <c r="C94" s="252" t="str">
        <f>IF(E92='3. Dropdowns'!C113,"Hide",IF(E66='3. Dropdowns'!C111,"Hide","Show"))</f>
        <v>Show</v>
      </c>
      <c r="D94" s="283" t="s">
        <v>3204</v>
      </c>
      <c r="E94" s="248"/>
      <c r="F94" s="284" t="str">
        <f>IF(E94='3. Dropdowns'!C115,"","Submittals, Products, Execution")</f>
        <v>Submittals, Products, Execution</v>
      </c>
      <c r="G94" s="268"/>
      <c r="H94" s="238"/>
      <c r="I94" s="239" t="s">
        <v>890</v>
      </c>
      <c r="J94" s="240"/>
      <c r="K94" s="240"/>
      <c r="L94" s="240"/>
      <c r="M94" s="240"/>
      <c r="N94" s="240"/>
      <c r="O94" s="240"/>
      <c r="P94" s="240"/>
      <c r="Q94" s="240"/>
      <c r="R94" s="240"/>
      <c r="S94" s="240"/>
      <c r="T94" s="240" t="s">
        <v>890</v>
      </c>
      <c r="U94" s="240"/>
      <c r="V94" s="240"/>
      <c r="W94" s="240"/>
      <c r="X94" s="238"/>
      <c r="Y94" s="240"/>
      <c r="Z94" s="240"/>
      <c r="AA94" s="240"/>
      <c r="AB94" s="240"/>
      <c r="AC94" s="240"/>
      <c r="AD94" s="240"/>
      <c r="AE94" s="240"/>
      <c r="AF94" s="240"/>
      <c r="AG94" s="240"/>
      <c r="AH94" s="238"/>
      <c r="AI94" s="240"/>
      <c r="AJ94" s="240"/>
      <c r="AK94" s="240"/>
      <c r="AL94" s="240"/>
      <c r="AM94" s="238"/>
      <c r="AN94" s="240"/>
      <c r="AO94" s="240"/>
      <c r="AP94" s="240"/>
      <c r="AQ94" s="238"/>
      <c r="AR94" s="240"/>
      <c r="AS94" s="240"/>
      <c r="AT94" s="240"/>
      <c r="AU94" s="240"/>
      <c r="AV94" s="240"/>
      <c r="AW94" s="240"/>
      <c r="AX94" s="240"/>
      <c r="AY94" s="240"/>
      <c r="AZ94" s="238"/>
      <c r="BA94" s="240"/>
      <c r="BB94" s="240"/>
      <c r="BC94" s="240"/>
      <c r="BD94" s="240"/>
      <c r="BE94" s="240"/>
      <c r="BF94" s="240"/>
      <c r="BG94" s="240"/>
      <c r="BH94" s="240"/>
      <c r="BI94" s="240"/>
      <c r="BJ94" s="240"/>
      <c r="BK94" s="240"/>
      <c r="BL94" s="240"/>
      <c r="BM94" s="240"/>
      <c r="BN94" s="240"/>
      <c r="BO94" s="240"/>
      <c r="BP94" s="238"/>
      <c r="BQ94" s="240"/>
      <c r="BR94" s="240"/>
      <c r="BS94" s="240"/>
      <c r="BT94" s="240"/>
      <c r="BU94" s="240"/>
      <c r="BV94" s="240"/>
      <c r="BW94" s="240"/>
      <c r="BX94" s="240"/>
      <c r="BY94" s="240"/>
      <c r="BZ94" s="240"/>
      <c r="CA94" s="240"/>
      <c r="CB94" s="240"/>
      <c r="CC94" s="240"/>
      <c r="CD94" s="240"/>
      <c r="CE94" s="240"/>
      <c r="CF94" s="238"/>
      <c r="CG94" s="240"/>
      <c r="CH94" s="240"/>
      <c r="CI94" s="240"/>
      <c r="CJ94" s="240"/>
      <c r="CK94" s="240"/>
      <c r="CL94" s="240"/>
      <c r="CM94" s="240"/>
      <c r="CN94" s="240"/>
      <c r="CO94" s="240"/>
      <c r="CP94" s="240"/>
      <c r="CQ94" s="240"/>
      <c r="CR94" s="240"/>
      <c r="CS94" s="238"/>
      <c r="CT94" s="240"/>
      <c r="CU94" s="240"/>
      <c r="CV94" s="240"/>
      <c r="CW94" s="240"/>
      <c r="CX94" s="240"/>
      <c r="CY94" s="240"/>
      <c r="CZ94" s="240"/>
      <c r="DA94" s="240"/>
      <c r="DB94" s="240"/>
      <c r="DC94" s="240"/>
      <c r="DD94" s="240"/>
      <c r="DE94" s="240"/>
      <c r="DF94" s="238"/>
      <c r="DG94" s="240"/>
      <c r="DH94" s="240"/>
      <c r="DI94" s="240"/>
      <c r="DJ94" s="240"/>
      <c r="DK94" s="240"/>
      <c r="DL94" s="240"/>
      <c r="DM94" s="240"/>
      <c r="DN94" s="240"/>
      <c r="DO94" s="240"/>
      <c r="DP94" s="240"/>
      <c r="DQ94" s="240"/>
      <c r="DR94" s="238"/>
      <c r="DS94" s="240"/>
      <c r="DT94" s="240"/>
      <c r="DU94" s="240"/>
      <c r="DV94" s="238"/>
      <c r="DW94" s="240"/>
      <c r="DX94" s="240"/>
      <c r="DY94" s="240"/>
      <c r="DZ94" s="240"/>
      <c r="EA94" s="240"/>
      <c r="EB94" s="240"/>
      <c r="EC94" s="240"/>
      <c r="ED94" s="240"/>
      <c r="EE94" s="240"/>
      <c r="EF94" s="238"/>
      <c r="EG94" s="240"/>
      <c r="EH94" s="240"/>
      <c r="EI94" s="240"/>
      <c r="EJ94" s="238"/>
      <c r="EK94" s="240"/>
      <c r="EL94" s="238"/>
      <c r="EM94" s="240"/>
      <c r="EN94" s="240"/>
      <c r="EO94" s="240"/>
      <c r="EP94" s="240"/>
      <c r="EQ94" s="240"/>
      <c r="ER94" s="240"/>
      <c r="ES94" s="240"/>
      <c r="ET94" s="240"/>
      <c r="EU94" s="240"/>
      <c r="EV94" s="240"/>
      <c r="EW94" s="240"/>
      <c r="EX94" s="238"/>
      <c r="EY94" s="240"/>
      <c r="EZ94" s="240"/>
      <c r="FA94" s="240"/>
      <c r="FB94" s="240"/>
      <c r="FC94" s="240"/>
      <c r="FD94" s="240"/>
      <c r="FE94" s="240"/>
      <c r="FF94" s="240"/>
      <c r="FG94" s="240"/>
      <c r="FH94" s="240"/>
      <c r="FI94" s="240"/>
      <c r="FJ94" s="240"/>
      <c r="FK94" s="240"/>
      <c r="FL94" s="240"/>
      <c r="FM94" s="240"/>
      <c r="FN94" s="240"/>
      <c r="FO94" s="238"/>
      <c r="FP94" s="240"/>
      <c r="FQ94" s="240"/>
      <c r="FR94" s="240"/>
      <c r="FS94" s="240"/>
      <c r="FT94" s="240"/>
      <c r="FU94" s="240"/>
      <c r="FV94" s="240"/>
      <c r="FW94" s="240"/>
      <c r="FX94" s="240"/>
      <c r="FY94" s="240"/>
      <c r="FZ94" s="238"/>
      <c r="GA94" s="240"/>
      <c r="GB94" s="240"/>
      <c r="GC94" s="238"/>
      <c r="GD94" s="240"/>
      <c r="GE94" s="240"/>
      <c r="GF94" s="240"/>
      <c r="GG94" s="240"/>
      <c r="GH94" s="238"/>
      <c r="GI94" s="240"/>
      <c r="GJ94" s="240"/>
      <c r="GK94" s="240"/>
      <c r="GL94" s="240"/>
      <c r="GM94" s="238"/>
      <c r="GN94" s="240"/>
      <c r="GO94" s="240"/>
      <c r="GP94" s="240"/>
      <c r="GQ94" s="240"/>
      <c r="GR94" s="240"/>
      <c r="GS94" s="240"/>
      <c r="GT94" s="240"/>
      <c r="GU94" s="240"/>
      <c r="GV94" s="240"/>
      <c r="GW94" s="240"/>
      <c r="GX94" s="240"/>
      <c r="GY94" s="240"/>
      <c r="GZ94" s="240"/>
      <c r="HA94" s="240"/>
      <c r="HB94" s="240"/>
      <c r="HC94" s="240"/>
      <c r="HD94" s="238"/>
      <c r="HE94" s="240"/>
      <c r="HF94" s="240"/>
      <c r="HG94" s="240"/>
      <c r="HH94" s="240"/>
      <c r="HI94" s="240"/>
      <c r="HJ94" s="238"/>
      <c r="HK94" s="240"/>
      <c r="HL94" s="238"/>
      <c r="HM94" s="241"/>
      <c r="HN94" s="235"/>
      <c r="HO94" s="235"/>
      <c r="HP94" s="235"/>
      <c r="HQ94" s="235"/>
    </row>
    <row r="95" spans="2:225" ht="37.5" hidden="1" outlineLevel="3">
      <c r="B95" s="251" t="s">
        <v>1783</v>
      </c>
      <c r="C95" s="252" t="str">
        <f>IF(E92='3. Dropdowns'!C113,"Hide",IF(E66='3. Dropdowns'!C111,"Hide","Show"))</f>
        <v>Show</v>
      </c>
      <c r="D95" s="283" t="s">
        <v>3205</v>
      </c>
      <c r="E95" s="248"/>
      <c r="F95" s="284" t="str">
        <f>IF(E95='3. Dropdowns'!C115,"","Products, Execution")</f>
        <v>Products, Execution</v>
      </c>
      <c r="G95" s="268"/>
      <c r="H95" s="238"/>
      <c r="I95" s="239" t="s">
        <v>890</v>
      </c>
      <c r="J95" s="240"/>
      <c r="K95" s="240"/>
      <c r="L95" s="240"/>
      <c r="M95" s="240"/>
      <c r="N95" s="240"/>
      <c r="O95" s="240"/>
      <c r="P95" s="240"/>
      <c r="Q95" s="240"/>
      <c r="R95" s="240"/>
      <c r="S95" s="240"/>
      <c r="T95" s="240" t="s">
        <v>890</v>
      </c>
      <c r="U95" s="240"/>
      <c r="V95" s="240"/>
      <c r="W95" s="240"/>
      <c r="X95" s="238"/>
      <c r="Y95" s="240"/>
      <c r="Z95" s="240"/>
      <c r="AA95" s="240"/>
      <c r="AB95" s="240"/>
      <c r="AC95" s="240"/>
      <c r="AD95" s="240"/>
      <c r="AE95" s="240"/>
      <c r="AF95" s="240"/>
      <c r="AG95" s="240"/>
      <c r="AH95" s="238"/>
      <c r="AI95" s="240"/>
      <c r="AJ95" s="240"/>
      <c r="AK95" s="240"/>
      <c r="AL95" s="240"/>
      <c r="AM95" s="238"/>
      <c r="AN95" s="240"/>
      <c r="AO95" s="240"/>
      <c r="AP95" s="240"/>
      <c r="AQ95" s="238"/>
      <c r="AR95" s="240"/>
      <c r="AS95" s="240"/>
      <c r="AT95" s="240"/>
      <c r="AU95" s="240"/>
      <c r="AV95" s="240"/>
      <c r="AW95" s="240"/>
      <c r="AX95" s="240"/>
      <c r="AY95" s="240"/>
      <c r="AZ95" s="238"/>
      <c r="BA95" s="240" t="s">
        <v>890</v>
      </c>
      <c r="BB95" s="240"/>
      <c r="BC95" s="240"/>
      <c r="BD95" s="240"/>
      <c r="BE95" s="240"/>
      <c r="BF95" s="240"/>
      <c r="BG95" s="240" t="s">
        <v>890</v>
      </c>
      <c r="BH95" s="240" t="s">
        <v>890</v>
      </c>
      <c r="BI95" s="240"/>
      <c r="BJ95" s="240"/>
      <c r="BK95" s="240"/>
      <c r="BL95" s="240"/>
      <c r="BM95" s="240"/>
      <c r="BN95" s="240"/>
      <c r="BO95" s="240"/>
      <c r="BP95" s="238"/>
      <c r="BQ95" s="240"/>
      <c r="BR95" s="240"/>
      <c r="BS95" s="240"/>
      <c r="BT95" s="240"/>
      <c r="BU95" s="240"/>
      <c r="BV95" s="240"/>
      <c r="BW95" s="240"/>
      <c r="BX95" s="240"/>
      <c r="BY95" s="240"/>
      <c r="BZ95" s="240"/>
      <c r="CA95" s="240"/>
      <c r="CB95" s="240"/>
      <c r="CC95" s="240"/>
      <c r="CD95" s="240"/>
      <c r="CE95" s="240"/>
      <c r="CF95" s="238"/>
      <c r="CG95" s="240"/>
      <c r="CH95" s="240"/>
      <c r="CI95" s="240"/>
      <c r="CJ95" s="240"/>
      <c r="CK95" s="240"/>
      <c r="CL95" s="240"/>
      <c r="CM95" s="240"/>
      <c r="CN95" s="240"/>
      <c r="CO95" s="240"/>
      <c r="CP95" s="240"/>
      <c r="CQ95" s="240"/>
      <c r="CR95" s="240"/>
      <c r="CS95" s="238"/>
      <c r="CT95" s="240"/>
      <c r="CU95" s="240"/>
      <c r="CV95" s="240"/>
      <c r="CW95" s="240"/>
      <c r="CX95" s="240"/>
      <c r="CY95" s="240"/>
      <c r="CZ95" s="240"/>
      <c r="DA95" s="240"/>
      <c r="DB95" s="240"/>
      <c r="DC95" s="240"/>
      <c r="DD95" s="240"/>
      <c r="DE95" s="240"/>
      <c r="DF95" s="238"/>
      <c r="DG95" s="240"/>
      <c r="DH95" s="240"/>
      <c r="DI95" s="240"/>
      <c r="DJ95" s="240"/>
      <c r="DK95" s="240"/>
      <c r="DL95" s="240"/>
      <c r="DM95" s="240"/>
      <c r="DN95" s="240"/>
      <c r="DO95" s="240"/>
      <c r="DP95" s="240"/>
      <c r="DQ95" s="240"/>
      <c r="DR95" s="238"/>
      <c r="DS95" s="240"/>
      <c r="DT95" s="240"/>
      <c r="DU95" s="240"/>
      <c r="DV95" s="238"/>
      <c r="DW95" s="240"/>
      <c r="DX95" s="240"/>
      <c r="DY95" s="240"/>
      <c r="DZ95" s="240"/>
      <c r="EA95" s="240"/>
      <c r="EB95" s="240"/>
      <c r="EC95" s="240"/>
      <c r="ED95" s="240"/>
      <c r="EE95" s="240"/>
      <c r="EF95" s="238"/>
      <c r="EG95" s="240"/>
      <c r="EH95" s="240"/>
      <c r="EI95" s="240"/>
      <c r="EJ95" s="238"/>
      <c r="EK95" s="240"/>
      <c r="EL95" s="238"/>
      <c r="EM95" s="240"/>
      <c r="EN95" s="240"/>
      <c r="EO95" s="240"/>
      <c r="EP95" s="240"/>
      <c r="EQ95" s="240"/>
      <c r="ER95" s="240"/>
      <c r="ES95" s="240"/>
      <c r="ET95" s="240"/>
      <c r="EU95" s="240"/>
      <c r="EV95" s="240"/>
      <c r="EW95" s="240"/>
      <c r="EX95" s="238"/>
      <c r="EY95" s="240"/>
      <c r="EZ95" s="240"/>
      <c r="FA95" s="240"/>
      <c r="FB95" s="240"/>
      <c r="FC95" s="240"/>
      <c r="FD95" s="240"/>
      <c r="FE95" s="240"/>
      <c r="FF95" s="240"/>
      <c r="FG95" s="240"/>
      <c r="FH95" s="240"/>
      <c r="FI95" s="240"/>
      <c r="FJ95" s="240"/>
      <c r="FK95" s="240"/>
      <c r="FL95" s="240"/>
      <c r="FM95" s="240"/>
      <c r="FN95" s="240"/>
      <c r="FO95" s="238"/>
      <c r="FP95" s="240"/>
      <c r="FQ95" s="240"/>
      <c r="FR95" s="240"/>
      <c r="FS95" s="240"/>
      <c r="FT95" s="240"/>
      <c r="FU95" s="240"/>
      <c r="FV95" s="240"/>
      <c r="FW95" s="240"/>
      <c r="FX95" s="240"/>
      <c r="FY95" s="240"/>
      <c r="FZ95" s="238"/>
      <c r="GA95" s="240"/>
      <c r="GB95" s="240"/>
      <c r="GC95" s="238"/>
      <c r="GD95" s="240"/>
      <c r="GE95" s="240"/>
      <c r="GF95" s="240"/>
      <c r="GG95" s="240"/>
      <c r="GH95" s="238"/>
      <c r="GI95" s="240"/>
      <c r="GJ95" s="240"/>
      <c r="GK95" s="240"/>
      <c r="GL95" s="240"/>
      <c r="GM95" s="238"/>
      <c r="GN95" s="240"/>
      <c r="GO95" s="240"/>
      <c r="GP95" s="240"/>
      <c r="GQ95" s="240"/>
      <c r="GR95" s="240"/>
      <c r="GS95" s="240"/>
      <c r="GT95" s="240"/>
      <c r="GU95" s="240"/>
      <c r="GV95" s="240"/>
      <c r="GW95" s="240"/>
      <c r="GX95" s="240"/>
      <c r="GY95" s="240"/>
      <c r="GZ95" s="240"/>
      <c r="HA95" s="240"/>
      <c r="HB95" s="240"/>
      <c r="HC95" s="240"/>
      <c r="HD95" s="238"/>
      <c r="HE95" s="240"/>
      <c r="HF95" s="240"/>
      <c r="HG95" s="240"/>
      <c r="HH95" s="240"/>
      <c r="HI95" s="240"/>
      <c r="HJ95" s="238"/>
      <c r="HK95" s="240"/>
      <c r="HL95" s="238"/>
      <c r="HM95" s="241"/>
      <c r="HN95" s="235"/>
      <c r="HO95" s="235"/>
      <c r="HP95" s="235"/>
      <c r="HQ95" s="235"/>
    </row>
    <row r="96" spans="2:225" ht="37.5" hidden="1" outlineLevel="3">
      <c r="B96" s="251" t="s">
        <v>1783</v>
      </c>
      <c r="C96" s="252" t="str">
        <f>IF(E92='3. Dropdowns'!C113,"Hide",IF(E66='3. Dropdowns'!C111,"Hide","Show"))</f>
        <v>Show</v>
      </c>
      <c r="D96" s="283" t="s">
        <v>3373</v>
      </c>
      <c r="E96" s="248"/>
      <c r="F96" s="284" t="str">
        <f>IF(E96='3. Dropdowns'!C115,"","Execution")</f>
        <v>Execution</v>
      </c>
      <c r="G96" s="268"/>
      <c r="H96" s="238"/>
      <c r="I96" s="239" t="s">
        <v>890</v>
      </c>
      <c r="J96" s="240"/>
      <c r="K96" s="240"/>
      <c r="L96" s="240"/>
      <c r="M96" s="240"/>
      <c r="N96" s="240"/>
      <c r="O96" s="240"/>
      <c r="P96" s="240"/>
      <c r="Q96" s="240"/>
      <c r="R96" s="240"/>
      <c r="S96" s="240"/>
      <c r="T96" s="240" t="s">
        <v>890</v>
      </c>
      <c r="U96" s="240"/>
      <c r="V96" s="240"/>
      <c r="W96" s="240"/>
      <c r="X96" s="238"/>
      <c r="Y96" s="240"/>
      <c r="Z96" s="240"/>
      <c r="AA96" s="240"/>
      <c r="AB96" s="240"/>
      <c r="AC96" s="240"/>
      <c r="AD96" s="240"/>
      <c r="AE96" s="240"/>
      <c r="AF96" s="240"/>
      <c r="AG96" s="240"/>
      <c r="AH96" s="238"/>
      <c r="AI96" s="240"/>
      <c r="AJ96" s="240"/>
      <c r="AK96" s="240"/>
      <c r="AL96" s="240"/>
      <c r="AM96" s="238"/>
      <c r="AN96" s="240"/>
      <c r="AO96" s="240"/>
      <c r="AP96" s="240"/>
      <c r="AQ96" s="238"/>
      <c r="AR96" s="240"/>
      <c r="AS96" s="240"/>
      <c r="AT96" s="240"/>
      <c r="AU96" s="240"/>
      <c r="AV96" s="240"/>
      <c r="AW96" s="240"/>
      <c r="AX96" s="240"/>
      <c r="AY96" s="240"/>
      <c r="AZ96" s="238"/>
      <c r="BA96" s="240"/>
      <c r="BB96" s="240"/>
      <c r="BC96" s="240"/>
      <c r="BD96" s="240"/>
      <c r="BE96" s="240" t="s">
        <v>890</v>
      </c>
      <c r="BF96" s="240"/>
      <c r="BG96" s="240"/>
      <c r="BH96" s="240"/>
      <c r="BI96" s="240"/>
      <c r="BJ96" s="240"/>
      <c r="BK96" s="240"/>
      <c r="BL96" s="240"/>
      <c r="BM96" s="240"/>
      <c r="BN96" s="240"/>
      <c r="BO96" s="240"/>
      <c r="BP96" s="238"/>
      <c r="BQ96" s="240"/>
      <c r="BR96" s="240"/>
      <c r="BS96" s="240"/>
      <c r="BT96" s="240"/>
      <c r="BU96" s="240"/>
      <c r="BV96" s="240"/>
      <c r="BW96" s="240"/>
      <c r="BX96" s="240"/>
      <c r="BY96" s="240"/>
      <c r="BZ96" s="240"/>
      <c r="CA96" s="240"/>
      <c r="CB96" s="240"/>
      <c r="CC96" s="240"/>
      <c r="CD96" s="240"/>
      <c r="CE96" s="240"/>
      <c r="CF96" s="238"/>
      <c r="CG96" s="240"/>
      <c r="CH96" s="240"/>
      <c r="CI96" s="240"/>
      <c r="CJ96" s="240"/>
      <c r="CK96" s="240"/>
      <c r="CL96" s="240"/>
      <c r="CM96" s="240"/>
      <c r="CN96" s="240"/>
      <c r="CO96" s="240"/>
      <c r="CP96" s="240"/>
      <c r="CQ96" s="240"/>
      <c r="CR96" s="240"/>
      <c r="CS96" s="238"/>
      <c r="CT96" s="240"/>
      <c r="CU96" s="240"/>
      <c r="CV96" s="240"/>
      <c r="CW96" s="240"/>
      <c r="CX96" s="240"/>
      <c r="CY96" s="240"/>
      <c r="CZ96" s="240"/>
      <c r="DA96" s="240"/>
      <c r="DB96" s="240"/>
      <c r="DC96" s="240"/>
      <c r="DD96" s="240"/>
      <c r="DE96" s="240"/>
      <c r="DF96" s="238"/>
      <c r="DG96" s="240"/>
      <c r="DH96" s="240"/>
      <c r="DI96" s="240"/>
      <c r="DJ96" s="240"/>
      <c r="DK96" s="240"/>
      <c r="DL96" s="240"/>
      <c r="DM96" s="240"/>
      <c r="DN96" s="240"/>
      <c r="DO96" s="240"/>
      <c r="DP96" s="240"/>
      <c r="DQ96" s="240"/>
      <c r="DR96" s="238"/>
      <c r="DS96" s="240"/>
      <c r="DT96" s="240"/>
      <c r="DU96" s="240"/>
      <c r="DV96" s="238"/>
      <c r="DW96" s="240"/>
      <c r="DX96" s="240"/>
      <c r="DY96" s="240"/>
      <c r="DZ96" s="240"/>
      <c r="EA96" s="240"/>
      <c r="EB96" s="240"/>
      <c r="EC96" s="240"/>
      <c r="ED96" s="240"/>
      <c r="EE96" s="240"/>
      <c r="EF96" s="238"/>
      <c r="EG96" s="240"/>
      <c r="EH96" s="240"/>
      <c r="EI96" s="240"/>
      <c r="EJ96" s="238"/>
      <c r="EK96" s="240"/>
      <c r="EL96" s="238"/>
      <c r="EM96" s="240"/>
      <c r="EN96" s="240"/>
      <c r="EO96" s="240"/>
      <c r="EP96" s="240"/>
      <c r="EQ96" s="240"/>
      <c r="ER96" s="240"/>
      <c r="ES96" s="240"/>
      <c r="ET96" s="240"/>
      <c r="EU96" s="240"/>
      <c r="EV96" s="240"/>
      <c r="EW96" s="240"/>
      <c r="EX96" s="238"/>
      <c r="EY96" s="240"/>
      <c r="EZ96" s="240"/>
      <c r="FA96" s="240"/>
      <c r="FB96" s="240"/>
      <c r="FC96" s="240"/>
      <c r="FD96" s="240"/>
      <c r="FE96" s="240"/>
      <c r="FF96" s="240"/>
      <c r="FG96" s="240"/>
      <c r="FH96" s="240"/>
      <c r="FI96" s="240"/>
      <c r="FJ96" s="240"/>
      <c r="FK96" s="240"/>
      <c r="FL96" s="240"/>
      <c r="FM96" s="240"/>
      <c r="FN96" s="240"/>
      <c r="FO96" s="238"/>
      <c r="FP96" s="240"/>
      <c r="FQ96" s="240"/>
      <c r="FR96" s="240"/>
      <c r="FS96" s="240"/>
      <c r="FT96" s="240"/>
      <c r="FU96" s="240"/>
      <c r="FV96" s="240"/>
      <c r="FW96" s="240"/>
      <c r="FX96" s="240"/>
      <c r="FY96" s="240"/>
      <c r="FZ96" s="238"/>
      <c r="GA96" s="240"/>
      <c r="GB96" s="240"/>
      <c r="GC96" s="238"/>
      <c r="GD96" s="240"/>
      <c r="GE96" s="240"/>
      <c r="GF96" s="240"/>
      <c r="GG96" s="240"/>
      <c r="GH96" s="238"/>
      <c r="GI96" s="240"/>
      <c r="GJ96" s="240"/>
      <c r="GK96" s="240"/>
      <c r="GL96" s="240"/>
      <c r="GM96" s="238"/>
      <c r="GN96" s="240"/>
      <c r="GO96" s="240"/>
      <c r="GP96" s="240"/>
      <c r="GQ96" s="240"/>
      <c r="GR96" s="240"/>
      <c r="GS96" s="240"/>
      <c r="GT96" s="240"/>
      <c r="GU96" s="240"/>
      <c r="GV96" s="240"/>
      <c r="GW96" s="240"/>
      <c r="GX96" s="240"/>
      <c r="GY96" s="240"/>
      <c r="GZ96" s="240"/>
      <c r="HA96" s="240"/>
      <c r="HB96" s="240"/>
      <c r="HC96" s="240"/>
      <c r="HD96" s="238"/>
      <c r="HE96" s="240"/>
      <c r="HF96" s="240"/>
      <c r="HG96" s="240"/>
      <c r="HH96" s="240"/>
      <c r="HI96" s="240"/>
      <c r="HJ96" s="238"/>
      <c r="HK96" s="240"/>
      <c r="HL96" s="238"/>
      <c r="HM96" s="241"/>
      <c r="HN96" s="235"/>
      <c r="HO96" s="235"/>
      <c r="HP96" s="235"/>
      <c r="HQ96" s="235"/>
    </row>
    <row r="97" spans="2:225" ht="37.5" hidden="1" outlineLevel="3">
      <c r="B97" s="251" t="s">
        <v>1783</v>
      </c>
      <c r="C97" s="252" t="str">
        <f>IF(E92='3. Dropdowns'!C113,"Hide",IF(E66='3. Dropdowns'!C111,"Hide","Show"))</f>
        <v>Show</v>
      </c>
      <c r="D97" s="283" t="s">
        <v>3374</v>
      </c>
      <c r="E97" s="248"/>
      <c r="F97" s="284" t="str">
        <f>IF(E97='3. Dropdowns'!C115,"","Submittals, Products, Execution")</f>
        <v>Submittals, Products, Execution</v>
      </c>
      <c r="G97" s="268"/>
      <c r="H97" s="238"/>
      <c r="I97" s="239" t="s">
        <v>890</v>
      </c>
      <c r="J97" s="240"/>
      <c r="K97" s="240"/>
      <c r="L97" s="240"/>
      <c r="M97" s="240"/>
      <c r="N97" s="240"/>
      <c r="O97" s="240"/>
      <c r="P97" s="240"/>
      <c r="Q97" s="240"/>
      <c r="R97" s="240"/>
      <c r="S97" s="240"/>
      <c r="T97" s="240" t="s">
        <v>890</v>
      </c>
      <c r="U97" s="240"/>
      <c r="V97" s="240"/>
      <c r="W97" s="240"/>
      <c r="X97" s="238"/>
      <c r="Y97" s="240"/>
      <c r="Z97" s="240"/>
      <c r="AA97" s="240"/>
      <c r="AB97" s="240"/>
      <c r="AC97" s="240"/>
      <c r="AD97" s="240"/>
      <c r="AE97" s="240"/>
      <c r="AF97" s="240"/>
      <c r="AG97" s="240"/>
      <c r="AH97" s="238"/>
      <c r="AI97" s="240"/>
      <c r="AJ97" s="240"/>
      <c r="AK97" s="240"/>
      <c r="AL97" s="240"/>
      <c r="AM97" s="238"/>
      <c r="AN97" s="240"/>
      <c r="AO97" s="240"/>
      <c r="AP97" s="240"/>
      <c r="AQ97" s="238"/>
      <c r="AR97" s="240"/>
      <c r="AS97" s="240"/>
      <c r="AT97" s="240"/>
      <c r="AU97" s="240"/>
      <c r="AV97" s="240"/>
      <c r="AW97" s="240"/>
      <c r="AX97" s="240"/>
      <c r="AY97" s="240"/>
      <c r="AZ97" s="238"/>
      <c r="BA97" s="240"/>
      <c r="BB97" s="240"/>
      <c r="BC97" s="240"/>
      <c r="BD97" s="240"/>
      <c r="BE97" s="240"/>
      <c r="BF97" s="240" t="s">
        <v>890</v>
      </c>
      <c r="BG97" s="240"/>
      <c r="BH97" s="240" t="s">
        <v>890</v>
      </c>
      <c r="BI97" s="240"/>
      <c r="BJ97" s="240"/>
      <c r="BK97" s="240"/>
      <c r="BL97" s="240"/>
      <c r="BM97" s="240"/>
      <c r="BN97" s="240"/>
      <c r="BO97" s="240"/>
      <c r="BP97" s="238"/>
      <c r="BQ97" s="240"/>
      <c r="BR97" s="240"/>
      <c r="BS97" s="240"/>
      <c r="BT97" s="240"/>
      <c r="BU97" s="240"/>
      <c r="BV97" s="240"/>
      <c r="BW97" s="240"/>
      <c r="BX97" s="240"/>
      <c r="BY97" s="240"/>
      <c r="BZ97" s="240"/>
      <c r="CA97" s="240"/>
      <c r="CB97" s="240"/>
      <c r="CC97" s="240"/>
      <c r="CD97" s="240"/>
      <c r="CE97" s="240"/>
      <c r="CF97" s="238"/>
      <c r="CG97" s="240"/>
      <c r="CH97" s="240"/>
      <c r="CI97" s="240"/>
      <c r="CJ97" s="240"/>
      <c r="CK97" s="240"/>
      <c r="CL97" s="240"/>
      <c r="CM97" s="240"/>
      <c r="CN97" s="240"/>
      <c r="CO97" s="240"/>
      <c r="CP97" s="240"/>
      <c r="CQ97" s="240"/>
      <c r="CR97" s="240"/>
      <c r="CS97" s="238"/>
      <c r="CT97" s="240"/>
      <c r="CU97" s="240"/>
      <c r="CV97" s="240"/>
      <c r="CW97" s="240"/>
      <c r="CX97" s="240"/>
      <c r="CY97" s="240"/>
      <c r="CZ97" s="240"/>
      <c r="DA97" s="240"/>
      <c r="DB97" s="240"/>
      <c r="DC97" s="240"/>
      <c r="DD97" s="240"/>
      <c r="DE97" s="240"/>
      <c r="DF97" s="238"/>
      <c r="DG97" s="240"/>
      <c r="DH97" s="240"/>
      <c r="DI97" s="240"/>
      <c r="DJ97" s="240"/>
      <c r="DK97" s="240"/>
      <c r="DL97" s="240"/>
      <c r="DM97" s="240"/>
      <c r="DN97" s="240"/>
      <c r="DO97" s="240"/>
      <c r="DP97" s="240"/>
      <c r="DQ97" s="240"/>
      <c r="DR97" s="238"/>
      <c r="DS97" s="240"/>
      <c r="DT97" s="240"/>
      <c r="DU97" s="240"/>
      <c r="DV97" s="238"/>
      <c r="DW97" s="240"/>
      <c r="DX97" s="240"/>
      <c r="DY97" s="240"/>
      <c r="DZ97" s="240"/>
      <c r="EA97" s="240"/>
      <c r="EB97" s="240"/>
      <c r="EC97" s="240"/>
      <c r="ED97" s="240"/>
      <c r="EE97" s="240"/>
      <c r="EF97" s="238"/>
      <c r="EG97" s="240"/>
      <c r="EH97" s="240"/>
      <c r="EI97" s="240"/>
      <c r="EJ97" s="238"/>
      <c r="EK97" s="240"/>
      <c r="EL97" s="238"/>
      <c r="EM97" s="240"/>
      <c r="EN97" s="240"/>
      <c r="EO97" s="240"/>
      <c r="EP97" s="240"/>
      <c r="EQ97" s="240"/>
      <c r="ER97" s="240"/>
      <c r="ES97" s="240"/>
      <c r="ET97" s="240"/>
      <c r="EU97" s="240"/>
      <c r="EV97" s="240"/>
      <c r="EW97" s="240"/>
      <c r="EX97" s="238"/>
      <c r="EY97" s="240"/>
      <c r="EZ97" s="240"/>
      <c r="FA97" s="240"/>
      <c r="FB97" s="240"/>
      <c r="FC97" s="240"/>
      <c r="FD97" s="240"/>
      <c r="FE97" s="240"/>
      <c r="FF97" s="240"/>
      <c r="FG97" s="240"/>
      <c r="FH97" s="240"/>
      <c r="FI97" s="240"/>
      <c r="FJ97" s="240"/>
      <c r="FK97" s="240"/>
      <c r="FL97" s="240"/>
      <c r="FM97" s="240"/>
      <c r="FN97" s="240"/>
      <c r="FO97" s="238"/>
      <c r="FP97" s="240"/>
      <c r="FQ97" s="240"/>
      <c r="FR97" s="240"/>
      <c r="FS97" s="240"/>
      <c r="FT97" s="240"/>
      <c r="FU97" s="240"/>
      <c r="FV97" s="240"/>
      <c r="FW97" s="240"/>
      <c r="FX97" s="240"/>
      <c r="FY97" s="240"/>
      <c r="FZ97" s="238"/>
      <c r="GA97" s="240"/>
      <c r="GB97" s="240"/>
      <c r="GC97" s="238"/>
      <c r="GD97" s="240"/>
      <c r="GE97" s="240"/>
      <c r="GF97" s="240"/>
      <c r="GG97" s="240"/>
      <c r="GH97" s="238"/>
      <c r="GI97" s="240"/>
      <c r="GJ97" s="240"/>
      <c r="GK97" s="240"/>
      <c r="GL97" s="240"/>
      <c r="GM97" s="238"/>
      <c r="GN97" s="240"/>
      <c r="GO97" s="240"/>
      <c r="GP97" s="240"/>
      <c r="GQ97" s="240"/>
      <c r="GR97" s="240"/>
      <c r="GS97" s="240"/>
      <c r="GT97" s="240"/>
      <c r="GU97" s="240"/>
      <c r="GV97" s="240"/>
      <c r="GW97" s="240"/>
      <c r="GX97" s="240"/>
      <c r="GY97" s="240"/>
      <c r="GZ97" s="240"/>
      <c r="HA97" s="240"/>
      <c r="HB97" s="240"/>
      <c r="HC97" s="240"/>
      <c r="HD97" s="238"/>
      <c r="HE97" s="240"/>
      <c r="HF97" s="240"/>
      <c r="HG97" s="240"/>
      <c r="HH97" s="240"/>
      <c r="HI97" s="240"/>
      <c r="HJ97" s="238"/>
      <c r="HK97" s="240"/>
      <c r="HL97" s="238"/>
      <c r="HM97" s="241"/>
      <c r="HN97" s="235"/>
      <c r="HO97" s="235"/>
      <c r="HP97" s="235"/>
      <c r="HQ97" s="235"/>
    </row>
    <row r="98" spans="2:225" ht="37.5" hidden="1" outlineLevel="3">
      <c r="B98" s="251" t="s">
        <v>1783</v>
      </c>
      <c r="C98" s="252" t="str">
        <f>IF(E92='3. Dropdowns'!C113,"Hide",IF(E66='3. Dropdowns'!C111,"Hide","Show"))</f>
        <v>Show</v>
      </c>
      <c r="D98" s="283" t="s">
        <v>3206</v>
      </c>
      <c r="E98" s="248"/>
      <c r="F98" s="284" t="str">
        <f>IF(E98='3. Dropdowns'!C115,"","Submittals, Products, Execution")</f>
        <v>Submittals, Products, Execution</v>
      </c>
      <c r="G98" s="268"/>
      <c r="H98" s="238"/>
      <c r="I98" s="239" t="s">
        <v>890</v>
      </c>
      <c r="J98" s="240"/>
      <c r="K98" s="240"/>
      <c r="L98" s="240"/>
      <c r="M98" s="240"/>
      <c r="N98" s="240"/>
      <c r="O98" s="240"/>
      <c r="P98" s="240"/>
      <c r="Q98" s="240"/>
      <c r="R98" s="240"/>
      <c r="S98" s="240"/>
      <c r="T98" s="240" t="s">
        <v>890</v>
      </c>
      <c r="U98" s="240"/>
      <c r="V98" s="240"/>
      <c r="W98" s="240"/>
      <c r="X98" s="238"/>
      <c r="Y98" s="240"/>
      <c r="Z98" s="240"/>
      <c r="AA98" s="240"/>
      <c r="AB98" s="240"/>
      <c r="AC98" s="240"/>
      <c r="AD98" s="240"/>
      <c r="AE98" s="240"/>
      <c r="AF98" s="240"/>
      <c r="AG98" s="240"/>
      <c r="AH98" s="238"/>
      <c r="AI98" s="240"/>
      <c r="AJ98" s="240"/>
      <c r="AK98" s="240"/>
      <c r="AL98" s="240"/>
      <c r="AM98" s="238"/>
      <c r="AN98" s="240"/>
      <c r="AO98" s="240"/>
      <c r="AP98" s="240"/>
      <c r="AQ98" s="238"/>
      <c r="AR98" s="240"/>
      <c r="AS98" s="240"/>
      <c r="AT98" s="240"/>
      <c r="AU98" s="240"/>
      <c r="AV98" s="240"/>
      <c r="AW98" s="240"/>
      <c r="AX98" s="240"/>
      <c r="AY98" s="240"/>
      <c r="AZ98" s="238"/>
      <c r="BA98" s="240" t="s">
        <v>890</v>
      </c>
      <c r="BB98" s="240"/>
      <c r="BC98" s="240"/>
      <c r="BD98" s="240"/>
      <c r="BE98" s="240" t="s">
        <v>890</v>
      </c>
      <c r="BF98" s="240"/>
      <c r="BG98" s="240"/>
      <c r="BH98" s="240"/>
      <c r="BI98" s="240"/>
      <c r="BJ98" s="240"/>
      <c r="BK98" s="240"/>
      <c r="BL98" s="240"/>
      <c r="BM98" s="240"/>
      <c r="BN98" s="240"/>
      <c r="BO98" s="240"/>
      <c r="BP98" s="238"/>
      <c r="BQ98" s="240"/>
      <c r="BR98" s="240"/>
      <c r="BS98" s="240"/>
      <c r="BT98" s="240"/>
      <c r="BU98" s="240"/>
      <c r="BV98" s="240"/>
      <c r="BW98" s="240"/>
      <c r="BX98" s="240"/>
      <c r="BY98" s="240"/>
      <c r="BZ98" s="240"/>
      <c r="CA98" s="240"/>
      <c r="CB98" s="240"/>
      <c r="CC98" s="240"/>
      <c r="CD98" s="240"/>
      <c r="CE98" s="240"/>
      <c r="CF98" s="238"/>
      <c r="CG98" s="240"/>
      <c r="CH98" s="240"/>
      <c r="CI98" s="240"/>
      <c r="CJ98" s="240"/>
      <c r="CK98" s="240"/>
      <c r="CL98" s="240"/>
      <c r="CM98" s="240"/>
      <c r="CN98" s="240"/>
      <c r="CO98" s="240"/>
      <c r="CP98" s="240"/>
      <c r="CQ98" s="240"/>
      <c r="CR98" s="240"/>
      <c r="CS98" s="238"/>
      <c r="CT98" s="240"/>
      <c r="CU98" s="240"/>
      <c r="CV98" s="240"/>
      <c r="CW98" s="240"/>
      <c r="CX98" s="240"/>
      <c r="CY98" s="240"/>
      <c r="CZ98" s="240"/>
      <c r="DA98" s="240"/>
      <c r="DB98" s="240"/>
      <c r="DC98" s="240"/>
      <c r="DD98" s="240"/>
      <c r="DE98" s="240"/>
      <c r="DF98" s="238"/>
      <c r="DG98" s="240"/>
      <c r="DH98" s="240"/>
      <c r="DI98" s="240"/>
      <c r="DJ98" s="240"/>
      <c r="DK98" s="240"/>
      <c r="DL98" s="240"/>
      <c r="DM98" s="240"/>
      <c r="DN98" s="240"/>
      <c r="DO98" s="240"/>
      <c r="DP98" s="240"/>
      <c r="DQ98" s="240"/>
      <c r="DR98" s="238"/>
      <c r="DS98" s="240"/>
      <c r="DT98" s="240"/>
      <c r="DU98" s="240"/>
      <c r="DV98" s="238"/>
      <c r="DW98" s="240"/>
      <c r="DX98" s="240"/>
      <c r="DY98" s="240"/>
      <c r="DZ98" s="240"/>
      <c r="EA98" s="240"/>
      <c r="EB98" s="240"/>
      <c r="EC98" s="240"/>
      <c r="ED98" s="240"/>
      <c r="EE98" s="240"/>
      <c r="EF98" s="238"/>
      <c r="EG98" s="240"/>
      <c r="EH98" s="240"/>
      <c r="EI98" s="240"/>
      <c r="EJ98" s="238"/>
      <c r="EK98" s="240"/>
      <c r="EL98" s="238"/>
      <c r="EM98" s="240"/>
      <c r="EN98" s="240"/>
      <c r="EO98" s="240"/>
      <c r="EP98" s="240"/>
      <c r="EQ98" s="240"/>
      <c r="ER98" s="240"/>
      <c r="ES98" s="240"/>
      <c r="ET98" s="240"/>
      <c r="EU98" s="240"/>
      <c r="EV98" s="240"/>
      <c r="EW98" s="240"/>
      <c r="EX98" s="238"/>
      <c r="EY98" s="240"/>
      <c r="EZ98" s="240"/>
      <c r="FA98" s="240"/>
      <c r="FB98" s="240"/>
      <c r="FC98" s="240"/>
      <c r="FD98" s="240"/>
      <c r="FE98" s="240"/>
      <c r="FF98" s="240"/>
      <c r="FG98" s="240"/>
      <c r="FH98" s="240"/>
      <c r="FI98" s="240"/>
      <c r="FJ98" s="240"/>
      <c r="FK98" s="240"/>
      <c r="FL98" s="240"/>
      <c r="FM98" s="240"/>
      <c r="FN98" s="240"/>
      <c r="FO98" s="238"/>
      <c r="FP98" s="240"/>
      <c r="FQ98" s="240"/>
      <c r="FR98" s="240"/>
      <c r="FS98" s="240"/>
      <c r="FT98" s="240"/>
      <c r="FU98" s="240"/>
      <c r="FV98" s="240"/>
      <c r="FW98" s="240"/>
      <c r="FX98" s="240"/>
      <c r="FY98" s="240"/>
      <c r="FZ98" s="238"/>
      <c r="GA98" s="240"/>
      <c r="GB98" s="240"/>
      <c r="GC98" s="238"/>
      <c r="GD98" s="240"/>
      <c r="GE98" s="240"/>
      <c r="GF98" s="240"/>
      <c r="GG98" s="240"/>
      <c r="GH98" s="238"/>
      <c r="GI98" s="240"/>
      <c r="GJ98" s="240"/>
      <c r="GK98" s="240"/>
      <c r="GL98" s="240"/>
      <c r="GM98" s="238"/>
      <c r="GN98" s="240"/>
      <c r="GO98" s="240"/>
      <c r="GP98" s="240"/>
      <c r="GQ98" s="240"/>
      <c r="GR98" s="240"/>
      <c r="GS98" s="240"/>
      <c r="GT98" s="240"/>
      <c r="GU98" s="240"/>
      <c r="GV98" s="240"/>
      <c r="GW98" s="240"/>
      <c r="GX98" s="240"/>
      <c r="GY98" s="240"/>
      <c r="GZ98" s="240"/>
      <c r="HA98" s="240"/>
      <c r="HB98" s="240"/>
      <c r="HC98" s="240"/>
      <c r="HD98" s="238"/>
      <c r="HE98" s="240"/>
      <c r="HF98" s="240"/>
      <c r="HG98" s="240"/>
      <c r="HH98" s="240"/>
      <c r="HI98" s="240"/>
      <c r="HJ98" s="238"/>
      <c r="HK98" s="240"/>
      <c r="HL98" s="238"/>
      <c r="HM98" s="241"/>
      <c r="HN98" s="235"/>
      <c r="HO98" s="235"/>
      <c r="HP98" s="235"/>
      <c r="HQ98" s="235"/>
    </row>
    <row r="99" spans="2:225" ht="37.5" hidden="1" outlineLevel="3">
      <c r="B99" s="251" t="s">
        <v>1783</v>
      </c>
      <c r="C99" s="252" t="str">
        <f>IF(E92='3. Dropdowns'!C113,"Hide",IF(E66='3. Dropdowns'!C111,"Hide","Show"))</f>
        <v>Show</v>
      </c>
      <c r="D99" s="283" t="s">
        <v>3375</v>
      </c>
      <c r="E99" s="248"/>
      <c r="F99" s="284" t="str">
        <f>IF(E99='3. Dropdowns'!C115,"","Submittals, Execution")</f>
        <v>Submittals, Execution</v>
      </c>
      <c r="G99" s="268"/>
      <c r="H99" s="238"/>
      <c r="I99" s="239" t="s">
        <v>890</v>
      </c>
      <c r="J99" s="240"/>
      <c r="K99" s="240"/>
      <c r="L99" s="240"/>
      <c r="M99" s="240"/>
      <c r="N99" s="240"/>
      <c r="O99" s="240"/>
      <c r="P99" s="240"/>
      <c r="Q99" s="240"/>
      <c r="R99" s="240"/>
      <c r="S99" s="240"/>
      <c r="T99" s="240" t="s">
        <v>890</v>
      </c>
      <c r="U99" s="240"/>
      <c r="V99" s="240"/>
      <c r="W99" s="240"/>
      <c r="X99" s="238"/>
      <c r="Y99" s="240"/>
      <c r="Z99" s="240"/>
      <c r="AA99" s="240"/>
      <c r="AB99" s="240"/>
      <c r="AC99" s="240"/>
      <c r="AD99" s="240"/>
      <c r="AE99" s="240"/>
      <c r="AF99" s="240"/>
      <c r="AG99" s="240"/>
      <c r="AH99" s="238"/>
      <c r="AI99" s="240"/>
      <c r="AJ99" s="240"/>
      <c r="AK99" s="240"/>
      <c r="AL99" s="240"/>
      <c r="AM99" s="238"/>
      <c r="AN99" s="240"/>
      <c r="AO99" s="240"/>
      <c r="AP99" s="240"/>
      <c r="AQ99" s="238"/>
      <c r="AR99" s="240"/>
      <c r="AS99" s="240"/>
      <c r="AT99" s="240"/>
      <c r="AU99" s="240"/>
      <c r="AV99" s="240"/>
      <c r="AW99" s="240"/>
      <c r="AX99" s="240"/>
      <c r="AY99" s="240"/>
      <c r="AZ99" s="238"/>
      <c r="BA99" s="240"/>
      <c r="BB99" s="240"/>
      <c r="BC99" s="240"/>
      <c r="BD99" s="240"/>
      <c r="BE99" s="240" t="s">
        <v>890</v>
      </c>
      <c r="BF99" s="240"/>
      <c r="BG99" s="240"/>
      <c r="BH99" s="240"/>
      <c r="BI99" s="240"/>
      <c r="BJ99" s="240" t="s">
        <v>890</v>
      </c>
      <c r="BK99" s="240"/>
      <c r="BL99" s="240"/>
      <c r="BM99" s="240"/>
      <c r="BN99" s="240"/>
      <c r="BO99" s="240"/>
      <c r="BP99" s="238"/>
      <c r="BQ99" s="240"/>
      <c r="BR99" s="240"/>
      <c r="BS99" s="240"/>
      <c r="BT99" s="240"/>
      <c r="BU99" s="240"/>
      <c r="BV99" s="240"/>
      <c r="BW99" s="240"/>
      <c r="BX99" s="240"/>
      <c r="BY99" s="240"/>
      <c r="BZ99" s="240"/>
      <c r="CA99" s="240"/>
      <c r="CB99" s="240"/>
      <c r="CC99" s="240"/>
      <c r="CD99" s="240"/>
      <c r="CE99" s="240"/>
      <c r="CF99" s="238"/>
      <c r="CG99" s="240"/>
      <c r="CH99" s="240"/>
      <c r="CI99" s="240"/>
      <c r="CJ99" s="240"/>
      <c r="CK99" s="240"/>
      <c r="CL99" s="240"/>
      <c r="CM99" s="240"/>
      <c r="CN99" s="240"/>
      <c r="CO99" s="240"/>
      <c r="CP99" s="240"/>
      <c r="CQ99" s="240"/>
      <c r="CR99" s="240"/>
      <c r="CS99" s="238"/>
      <c r="CT99" s="240"/>
      <c r="CU99" s="240"/>
      <c r="CV99" s="240"/>
      <c r="CW99" s="240"/>
      <c r="CX99" s="240"/>
      <c r="CY99" s="240"/>
      <c r="CZ99" s="240"/>
      <c r="DA99" s="240"/>
      <c r="DB99" s="240"/>
      <c r="DC99" s="240"/>
      <c r="DD99" s="240"/>
      <c r="DE99" s="240"/>
      <c r="DF99" s="238"/>
      <c r="DG99" s="240"/>
      <c r="DH99" s="240"/>
      <c r="DI99" s="240"/>
      <c r="DJ99" s="240"/>
      <c r="DK99" s="240"/>
      <c r="DL99" s="240"/>
      <c r="DM99" s="240"/>
      <c r="DN99" s="240"/>
      <c r="DO99" s="240"/>
      <c r="DP99" s="240"/>
      <c r="DQ99" s="240"/>
      <c r="DR99" s="238"/>
      <c r="DS99" s="240"/>
      <c r="DT99" s="240"/>
      <c r="DU99" s="240"/>
      <c r="DV99" s="238"/>
      <c r="DW99" s="240"/>
      <c r="DX99" s="240"/>
      <c r="DY99" s="240"/>
      <c r="DZ99" s="240"/>
      <c r="EA99" s="240"/>
      <c r="EB99" s="240"/>
      <c r="EC99" s="240"/>
      <c r="ED99" s="240"/>
      <c r="EE99" s="240"/>
      <c r="EF99" s="238"/>
      <c r="EG99" s="240"/>
      <c r="EH99" s="240"/>
      <c r="EI99" s="240"/>
      <c r="EJ99" s="238"/>
      <c r="EK99" s="240"/>
      <c r="EL99" s="238"/>
      <c r="EM99" s="240"/>
      <c r="EN99" s="240"/>
      <c r="EO99" s="240"/>
      <c r="EP99" s="240"/>
      <c r="EQ99" s="240"/>
      <c r="ER99" s="240"/>
      <c r="ES99" s="240"/>
      <c r="ET99" s="240"/>
      <c r="EU99" s="240"/>
      <c r="EV99" s="240"/>
      <c r="EW99" s="240"/>
      <c r="EX99" s="238"/>
      <c r="EY99" s="240"/>
      <c r="EZ99" s="240"/>
      <c r="FA99" s="240"/>
      <c r="FB99" s="240"/>
      <c r="FC99" s="240"/>
      <c r="FD99" s="240"/>
      <c r="FE99" s="240"/>
      <c r="FF99" s="240"/>
      <c r="FG99" s="240"/>
      <c r="FH99" s="240"/>
      <c r="FI99" s="240"/>
      <c r="FJ99" s="240"/>
      <c r="FK99" s="240"/>
      <c r="FL99" s="240"/>
      <c r="FM99" s="240"/>
      <c r="FN99" s="240"/>
      <c r="FO99" s="238"/>
      <c r="FP99" s="240"/>
      <c r="FQ99" s="240"/>
      <c r="FR99" s="240"/>
      <c r="FS99" s="240"/>
      <c r="FT99" s="240"/>
      <c r="FU99" s="240"/>
      <c r="FV99" s="240"/>
      <c r="FW99" s="240"/>
      <c r="FX99" s="240"/>
      <c r="FY99" s="240"/>
      <c r="FZ99" s="238"/>
      <c r="GA99" s="240"/>
      <c r="GB99" s="240"/>
      <c r="GC99" s="238"/>
      <c r="GD99" s="240"/>
      <c r="GE99" s="240"/>
      <c r="GF99" s="240"/>
      <c r="GG99" s="240"/>
      <c r="GH99" s="238"/>
      <c r="GI99" s="240"/>
      <c r="GJ99" s="240"/>
      <c r="GK99" s="240"/>
      <c r="GL99" s="240"/>
      <c r="GM99" s="238"/>
      <c r="GN99" s="240"/>
      <c r="GO99" s="240"/>
      <c r="GP99" s="240"/>
      <c r="GQ99" s="240"/>
      <c r="GR99" s="240"/>
      <c r="GS99" s="240"/>
      <c r="GT99" s="240"/>
      <c r="GU99" s="240"/>
      <c r="GV99" s="240"/>
      <c r="GW99" s="240"/>
      <c r="GX99" s="240"/>
      <c r="GY99" s="240"/>
      <c r="GZ99" s="240"/>
      <c r="HA99" s="240"/>
      <c r="HB99" s="240"/>
      <c r="HC99" s="240"/>
      <c r="HD99" s="238"/>
      <c r="HE99" s="240"/>
      <c r="HF99" s="240"/>
      <c r="HG99" s="240"/>
      <c r="HH99" s="240"/>
      <c r="HI99" s="240"/>
      <c r="HJ99" s="238"/>
      <c r="HK99" s="240"/>
      <c r="HL99" s="238"/>
      <c r="HM99" s="241"/>
      <c r="HN99" s="235"/>
      <c r="HO99" s="235"/>
      <c r="HP99" s="235"/>
      <c r="HQ99" s="235"/>
    </row>
    <row r="100" spans="2:225" ht="37.5" hidden="1" outlineLevel="3">
      <c r="B100" s="251" t="s">
        <v>1783</v>
      </c>
      <c r="C100" s="252" t="str">
        <f>IF(E92='3. Dropdowns'!C113,"Hide",IF(E66='3. Dropdowns'!C111,"Hide","Show"))</f>
        <v>Show</v>
      </c>
      <c r="D100" s="283" t="s">
        <v>3376</v>
      </c>
      <c r="E100" s="248"/>
      <c r="F100" s="284" t="str">
        <f>IF(E100='3. Dropdowns'!C115,"","Execution")</f>
        <v>Execution</v>
      </c>
      <c r="G100" s="268"/>
      <c r="H100" s="238"/>
      <c r="I100" s="239" t="s">
        <v>890</v>
      </c>
      <c r="J100" s="240"/>
      <c r="K100" s="240"/>
      <c r="L100" s="240"/>
      <c r="M100" s="240"/>
      <c r="N100" s="240"/>
      <c r="O100" s="240"/>
      <c r="P100" s="240"/>
      <c r="Q100" s="240"/>
      <c r="R100" s="240"/>
      <c r="S100" s="240"/>
      <c r="T100" s="240" t="s">
        <v>890</v>
      </c>
      <c r="U100" s="240"/>
      <c r="V100" s="240"/>
      <c r="W100" s="240"/>
      <c r="X100" s="238"/>
      <c r="Y100" s="240"/>
      <c r="Z100" s="240"/>
      <c r="AA100" s="240"/>
      <c r="AB100" s="240"/>
      <c r="AC100" s="240"/>
      <c r="AD100" s="240"/>
      <c r="AE100" s="240"/>
      <c r="AF100" s="240"/>
      <c r="AG100" s="240"/>
      <c r="AH100" s="238"/>
      <c r="AI100" s="240"/>
      <c r="AJ100" s="240"/>
      <c r="AK100" s="240"/>
      <c r="AL100" s="240"/>
      <c r="AM100" s="238"/>
      <c r="AN100" s="240"/>
      <c r="AO100" s="240"/>
      <c r="AP100" s="240"/>
      <c r="AQ100" s="238"/>
      <c r="AR100" s="240"/>
      <c r="AS100" s="240"/>
      <c r="AT100" s="240"/>
      <c r="AU100" s="240"/>
      <c r="AV100" s="240"/>
      <c r="AW100" s="240"/>
      <c r="AX100" s="240"/>
      <c r="AY100" s="240"/>
      <c r="AZ100" s="238"/>
      <c r="BA100" s="240" t="s">
        <v>890</v>
      </c>
      <c r="BB100" s="240"/>
      <c r="BC100" s="240"/>
      <c r="BD100" s="240"/>
      <c r="BE100" s="240" t="s">
        <v>890</v>
      </c>
      <c r="BF100" s="240"/>
      <c r="BG100" s="240"/>
      <c r="BH100" s="240"/>
      <c r="BI100" s="240"/>
      <c r="BJ100" s="240"/>
      <c r="BK100" s="240"/>
      <c r="BL100" s="240"/>
      <c r="BM100" s="240"/>
      <c r="BN100" s="240"/>
      <c r="BO100" s="240"/>
      <c r="BP100" s="238"/>
      <c r="BQ100" s="240"/>
      <c r="BR100" s="240"/>
      <c r="BS100" s="240"/>
      <c r="BT100" s="240"/>
      <c r="BU100" s="240"/>
      <c r="BV100" s="240"/>
      <c r="BW100" s="240"/>
      <c r="BX100" s="240"/>
      <c r="BY100" s="240"/>
      <c r="BZ100" s="240"/>
      <c r="CA100" s="240"/>
      <c r="CB100" s="240"/>
      <c r="CC100" s="240"/>
      <c r="CD100" s="240"/>
      <c r="CE100" s="240"/>
      <c r="CF100" s="238"/>
      <c r="CG100" s="240"/>
      <c r="CH100" s="240"/>
      <c r="CI100" s="240"/>
      <c r="CJ100" s="240"/>
      <c r="CK100" s="240"/>
      <c r="CL100" s="240"/>
      <c r="CM100" s="240"/>
      <c r="CN100" s="240"/>
      <c r="CO100" s="240"/>
      <c r="CP100" s="240"/>
      <c r="CQ100" s="240"/>
      <c r="CR100" s="240"/>
      <c r="CS100" s="238"/>
      <c r="CT100" s="240"/>
      <c r="CU100" s="240"/>
      <c r="CV100" s="240"/>
      <c r="CW100" s="240"/>
      <c r="CX100" s="240"/>
      <c r="CY100" s="240"/>
      <c r="CZ100" s="240"/>
      <c r="DA100" s="240"/>
      <c r="DB100" s="240"/>
      <c r="DC100" s="240"/>
      <c r="DD100" s="240"/>
      <c r="DE100" s="240"/>
      <c r="DF100" s="238"/>
      <c r="DG100" s="240"/>
      <c r="DH100" s="240"/>
      <c r="DI100" s="240"/>
      <c r="DJ100" s="240"/>
      <c r="DK100" s="240"/>
      <c r="DL100" s="240"/>
      <c r="DM100" s="240"/>
      <c r="DN100" s="240"/>
      <c r="DO100" s="240"/>
      <c r="DP100" s="240"/>
      <c r="DQ100" s="240"/>
      <c r="DR100" s="238"/>
      <c r="DS100" s="240"/>
      <c r="DT100" s="240"/>
      <c r="DU100" s="240"/>
      <c r="DV100" s="238"/>
      <c r="DW100" s="240"/>
      <c r="DX100" s="240"/>
      <c r="DY100" s="240"/>
      <c r="DZ100" s="240"/>
      <c r="EA100" s="240"/>
      <c r="EB100" s="240"/>
      <c r="EC100" s="240"/>
      <c r="ED100" s="240"/>
      <c r="EE100" s="240"/>
      <c r="EF100" s="238"/>
      <c r="EG100" s="240"/>
      <c r="EH100" s="240"/>
      <c r="EI100" s="240"/>
      <c r="EJ100" s="238"/>
      <c r="EK100" s="240"/>
      <c r="EL100" s="238"/>
      <c r="EM100" s="240"/>
      <c r="EN100" s="240"/>
      <c r="EO100" s="240"/>
      <c r="EP100" s="240"/>
      <c r="EQ100" s="240"/>
      <c r="ER100" s="240"/>
      <c r="ES100" s="240"/>
      <c r="ET100" s="240"/>
      <c r="EU100" s="240"/>
      <c r="EV100" s="240"/>
      <c r="EW100" s="240"/>
      <c r="EX100" s="238"/>
      <c r="EY100" s="240"/>
      <c r="EZ100" s="240"/>
      <c r="FA100" s="240"/>
      <c r="FB100" s="240"/>
      <c r="FC100" s="240"/>
      <c r="FD100" s="240"/>
      <c r="FE100" s="240"/>
      <c r="FF100" s="240"/>
      <c r="FG100" s="240"/>
      <c r="FH100" s="240"/>
      <c r="FI100" s="240"/>
      <c r="FJ100" s="240"/>
      <c r="FK100" s="240"/>
      <c r="FL100" s="240"/>
      <c r="FM100" s="240"/>
      <c r="FN100" s="240"/>
      <c r="FO100" s="238"/>
      <c r="FP100" s="240"/>
      <c r="FQ100" s="240"/>
      <c r="FR100" s="240"/>
      <c r="FS100" s="240"/>
      <c r="FT100" s="240"/>
      <c r="FU100" s="240"/>
      <c r="FV100" s="240"/>
      <c r="FW100" s="240"/>
      <c r="FX100" s="240"/>
      <c r="FY100" s="240"/>
      <c r="FZ100" s="238"/>
      <c r="GA100" s="240"/>
      <c r="GB100" s="240"/>
      <c r="GC100" s="238"/>
      <c r="GD100" s="240"/>
      <c r="GE100" s="240"/>
      <c r="GF100" s="240"/>
      <c r="GG100" s="240"/>
      <c r="GH100" s="238"/>
      <c r="GI100" s="240"/>
      <c r="GJ100" s="240"/>
      <c r="GK100" s="240"/>
      <c r="GL100" s="240"/>
      <c r="GM100" s="238"/>
      <c r="GN100" s="240"/>
      <c r="GO100" s="240"/>
      <c r="GP100" s="240"/>
      <c r="GQ100" s="240"/>
      <c r="GR100" s="240"/>
      <c r="GS100" s="240"/>
      <c r="GT100" s="240"/>
      <c r="GU100" s="240"/>
      <c r="GV100" s="240"/>
      <c r="GW100" s="240"/>
      <c r="GX100" s="240"/>
      <c r="GY100" s="240"/>
      <c r="GZ100" s="240"/>
      <c r="HA100" s="240"/>
      <c r="HB100" s="240"/>
      <c r="HC100" s="240"/>
      <c r="HD100" s="238"/>
      <c r="HE100" s="240"/>
      <c r="HF100" s="240"/>
      <c r="HG100" s="240"/>
      <c r="HH100" s="240"/>
      <c r="HI100" s="240"/>
      <c r="HJ100" s="238"/>
      <c r="HK100" s="240"/>
      <c r="HL100" s="238"/>
      <c r="HM100" s="241"/>
      <c r="HN100" s="235"/>
      <c r="HO100" s="235"/>
      <c r="HP100" s="235"/>
      <c r="HQ100" s="235"/>
    </row>
    <row r="101" spans="2:225" ht="37.5" hidden="1" outlineLevel="3">
      <c r="B101" s="251" t="s">
        <v>1783</v>
      </c>
      <c r="C101" s="252" t="str">
        <f>IF(E92='3. Dropdowns'!C113,"Hide",IF(E66='3. Dropdowns'!C111,"Hide","Show"))</f>
        <v>Show</v>
      </c>
      <c r="D101" s="283" t="s">
        <v>3377</v>
      </c>
      <c r="E101" s="248"/>
      <c r="F101" s="284" t="str">
        <f>IF(E101='3. Dropdowns'!C115,"","Submittals")</f>
        <v>Submittals</v>
      </c>
      <c r="G101" s="268"/>
      <c r="H101" s="238"/>
      <c r="I101" s="239" t="s">
        <v>890</v>
      </c>
      <c r="J101" s="240"/>
      <c r="K101" s="240"/>
      <c r="L101" s="240"/>
      <c r="M101" s="240"/>
      <c r="N101" s="240"/>
      <c r="O101" s="240"/>
      <c r="P101" s="240"/>
      <c r="Q101" s="240"/>
      <c r="R101" s="240"/>
      <c r="S101" s="240"/>
      <c r="T101" s="240" t="s">
        <v>890</v>
      </c>
      <c r="U101" s="240"/>
      <c r="V101" s="240"/>
      <c r="W101" s="240"/>
      <c r="X101" s="238"/>
      <c r="Y101" s="240"/>
      <c r="Z101" s="240"/>
      <c r="AA101" s="240"/>
      <c r="AB101" s="240"/>
      <c r="AC101" s="240"/>
      <c r="AD101" s="240"/>
      <c r="AE101" s="240"/>
      <c r="AF101" s="240"/>
      <c r="AG101" s="240"/>
      <c r="AH101" s="238"/>
      <c r="AI101" s="240"/>
      <c r="AJ101" s="240"/>
      <c r="AK101" s="240"/>
      <c r="AL101" s="240"/>
      <c r="AM101" s="238"/>
      <c r="AN101" s="240"/>
      <c r="AO101" s="240"/>
      <c r="AP101" s="240"/>
      <c r="AQ101" s="238"/>
      <c r="AR101" s="240"/>
      <c r="AS101" s="240"/>
      <c r="AT101" s="240"/>
      <c r="AU101" s="240"/>
      <c r="AV101" s="240"/>
      <c r="AW101" s="240"/>
      <c r="AX101" s="240"/>
      <c r="AY101" s="240"/>
      <c r="AZ101" s="238"/>
      <c r="BA101" s="240"/>
      <c r="BB101" s="240"/>
      <c r="BC101" s="240"/>
      <c r="BD101" s="240"/>
      <c r="BE101" s="240" t="s">
        <v>890</v>
      </c>
      <c r="BF101" s="240"/>
      <c r="BG101" s="240"/>
      <c r="BH101" s="240"/>
      <c r="BI101" s="240"/>
      <c r="BJ101" s="240"/>
      <c r="BK101" s="240"/>
      <c r="BL101" s="240"/>
      <c r="BM101" s="240"/>
      <c r="BN101" s="240"/>
      <c r="BO101" s="240"/>
      <c r="BP101" s="238"/>
      <c r="BQ101" s="240"/>
      <c r="BR101" s="240"/>
      <c r="BS101" s="240"/>
      <c r="BT101" s="240"/>
      <c r="BU101" s="240"/>
      <c r="BV101" s="240"/>
      <c r="BW101" s="240"/>
      <c r="BX101" s="240"/>
      <c r="BY101" s="240"/>
      <c r="BZ101" s="240"/>
      <c r="CA101" s="240"/>
      <c r="CB101" s="240"/>
      <c r="CC101" s="240"/>
      <c r="CD101" s="240"/>
      <c r="CE101" s="240"/>
      <c r="CF101" s="238"/>
      <c r="CG101" s="240"/>
      <c r="CH101" s="240"/>
      <c r="CI101" s="240"/>
      <c r="CJ101" s="240"/>
      <c r="CK101" s="240"/>
      <c r="CL101" s="240"/>
      <c r="CM101" s="240"/>
      <c r="CN101" s="240"/>
      <c r="CO101" s="240"/>
      <c r="CP101" s="240"/>
      <c r="CQ101" s="240"/>
      <c r="CR101" s="240"/>
      <c r="CS101" s="238"/>
      <c r="CT101" s="240"/>
      <c r="CU101" s="240"/>
      <c r="CV101" s="240"/>
      <c r="CW101" s="240"/>
      <c r="CX101" s="240"/>
      <c r="CY101" s="240"/>
      <c r="CZ101" s="240"/>
      <c r="DA101" s="240"/>
      <c r="DB101" s="240"/>
      <c r="DC101" s="240"/>
      <c r="DD101" s="240"/>
      <c r="DE101" s="240"/>
      <c r="DF101" s="238"/>
      <c r="DG101" s="240"/>
      <c r="DH101" s="240"/>
      <c r="DI101" s="240"/>
      <c r="DJ101" s="240"/>
      <c r="DK101" s="240"/>
      <c r="DL101" s="240"/>
      <c r="DM101" s="240"/>
      <c r="DN101" s="240"/>
      <c r="DO101" s="240"/>
      <c r="DP101" s="240"/>
      <c r="DQ101" s="240"/>
      <c r="DR101" s="238"/>
      <c r="DS101" s="240"/>
      <c r="DT101" s="240"/>
      <c r="DU101" s="240"/>
      <c r="DV101" s="238"/>
      <c r="DW101" s="240"/>
      <c r="DX101" s="240"/>
      <c r="DY101" s="240"/>
      <c r="DZ101" s="240"/>
      <c r="EA101" s="240"/>
      <c r="EB101" s="240"/>
      <c r="EC101" s="240"/>
      <c r="ED101" s="240"/>
      <c r="EE101" s="240"/>
      <c r="EF101" s="238"/>
      <c r="EG101" s="240"/>
      <c r="EH101" s="240"/>
      <c r="EI101" s="240"/>
      <c r="EJ101" s="238"/>
      <c r="EK101" s="240"/>
      <c r="EL101" s="238"/>
      <c r="EM101" s="240"/>
      <c r="EN101" s="240"/>
      <c r="EO101" s="240"/>
      <c r="EP101" s="240"/>
      <c r="EQ101" s="240"/>
      <c r="ER101" s="240"/>
      <c r="ES101" s="240"/>
      <c r="ET101" s="240"/>
      <c r="EU101" s="240"/>
      <c r="EV101" s="240"/>
      <c r="EW101" s="240"/>
      <c r="EX101" s="238"/>
      <c r="EY101" s="240"/>
      <c r="EZ101" s="240"/>
      <c r="FA101" s="240"/>
      <c r="FB101" s="240"/>
      <c r="FC101" s="240"/>
      <c r="FD101" s="240"/>
      <c r="FE101" s="240"/>
      <c r="FF101" s="240"/>
      <c r="FG101" s="240"/>
      <c r="FH101" s="240"/>
      <c r="FI101" s="240"/>
      <c r="FJ101" s="240"/>
      <c r="FK101" s="240"/>
      <c r="FL101" s="240"/>
      <c r="FM101" s="240"/>
      <c r="FN101" s="240"/>
      <c r="FO101" s="238"/>
      <c r="FP101" s="240"/>
      <c r="FQ101" s="240"/>
      <c r="FR101" s="240"/>
      <c r="FS101" s="240"/>
      <c r="FT101" s="240"/>
      <c r="FU101" s="240"/>
      <c r="FV101" s="240"/>
      <c r="FW101" s="240"/>
      <c r="FX101" s="240"/>
      <c r="FY101" s="240"/>
      <c r="FZ101" s="238"/>
      <c r="GA101" s="240"/>
      <c r="GB101" s="240"/>
      <c r="GC101" s="238"/>
      <c r="GD101" s="240"/>
      <c r="GE101" s="240"/>
      <c r="GF101" s="240"/>
      <c r="GG101" s="240"/>
      <c r="GH101" s="238"/>
      <c r="GI101" s="240"/>
      <c r="GJ101" s="240"/>
      <c r="GK101" s="240"/>
      <c r="GL101" s="240"/>
      <c r="GM101" s="238"/>
      <c r="GN101" s="240"/>
      <c r="GO101" s="240"/>
      <c r="GP101" s="240"/>
      <c r="GQ101" s="240"/>
      <c r="GR101" s="240"/>
      <c r="GS101" s="240"/>
      <c r="GT101" s="240"/>
      <c r="GU101" s="240"/>
      <c r="GV101" s="240"/>
      <c r="GW101" s="240"/>
      <c r="GX101" s="240"/>
      <c r="GY101" s="240"/>
      <c r="GZ101" s="240"/>
      <c r="HA101" s="240"/>
      <c r="HB101" s="240"/>
      <c r="HC101" s="240"/>
      <c r="HD101" s="238"/>
      <c r="HE101" s="240"/>
      <c r="HF101" s="240"/>
      <c r="HG101" s="240"/>
      <c r="HH101" s="240"/>
      <c r="HI101" s="240"/>
      <c r="HJ101" s="238"/>
      <c r="HK101" s="240"/>
      <c r="HL101" s="238"/>
      <c r="HM101" s="241"/>
      <c r="HN101" s="235"/>
      <c r="HO101" s="235"/>
      <c r="HP101" s="235"/>
      <c r="HQ101" s="235"/>
    </row>
    <row r="102" spans="2:225" ht="37.5" hidden="1" outlineLevel="3">
      <c r="B102" s="251" t="s">
        <v>1783</v>
      </c>
      <c r="C102" s="252" t="str">
        <f>IF(E92='3. Dropdowns'!C113,"Hide",IF(E66='3. Dropdowns'!C111,"Hide","Show"))</f>
        <v>Show</v>
      </c>
      <c r="D102" s="283" t="s">
        <v>3207</v>
      </c>
      <c r="E102" s="248"/>
      <c r="F102" s="284" t="str">
        <f>IF(E102='3. Dropdowns'!C115,"","Submittals, Products, Execution")</f>
        <v>Submittals, Products, Execution</v>
      </c>
      <c r="G102" s="268"/>
      <c r="H102" s="238"/>
      <c r="I102" s="239" t="s">
        <v>890</v>
      </c>
      <c r="J102" s="240"/>
      <c r="K102" s="240"/>
      <c r="L102" s="240"/>
      <c r="M102" s="240"/>
      <c r="N102" s="240"/>
      <c r="O102" s="240"/>
      <c r="P102" s="240"/>
      <c r="Q102" s="240"/>
      <c r="R102" s="240"/>
      <c r="S102" s="240"/>
      <c r="T102" s="240" t="s">
        <v>890</v>
      </c>
      <c r="U102" s="240"/>
      <c r="V102" s="240"/>
      <c r="W102" s="240"/>
      <c r="X102" s="238"/>
      <c r="Y102" s="240"/>
      <c r="Z102" s="240"/>
      <c r="AA102" s="240"/>
      <c r="AB102" s="240"/>
      <c r="AC102" s="240"/>
      <c r="AD102" s="240"/>
      <c r="AE102" s="240"/>
      <c r="AF102" s="240"/>
      <c r="AG102" s="240"/>
      <c r="AH102" s="238"/>
      <c r="AI102" s="240"/>
      <c r="AJ102" s="240"/>
      <c r="AK102" s="240"/>
      <c r="AL102" s="240"/>
      <c r="AM102" s="238"/>
      <c r="AN102" s="240"/>
      <c r="AO102" s="240"/>
      <c r="AP102" s="240"/>
      <c r="AQ102" s="238"/>
      <c r="AR102" s="240"/>
      <c r="AS102" s="240"/>
      <c r="AT102" s="240"/>
      <c r="AU102" s="240"/>
      <c r="AV102" s="240"/>
      <c r="AW102" s="240"/>
      <c r="AX102" s="240"/>
      <c r="AY102" s="240"/>
      <c r="AZ102" s="238"/>
      <c r="BA102" s="240"/>
      <c r="BB102" s="240"/>
      <c r="BC102" s="240"/>
      <c r="BD102" s="240"/>
      <c r="BE102" s="240" t="s">
        <v>890</v>
      </c>
      <c r="BF102" s="240"/>
      <c r="BG102" s="240"/>
      <c r="BH102" s="240" t="s">
        <v>890</v>
      </c>
      <c r="BI102" s="240"/>
      <c r="BJ102" s="240"/>
      <c r="BK102" s="240"/>
      <c r="BL102" s="240"/>
      <c r="BM102" s="240"/>
      <c r="BN102" s="240"/>
      <c r="BO102" s="240"/>
      <c r="BP102" s="238"/>
      <c r="BQ102" s="240"/>
      <c r="BR102" s="240"/>
      <c r="BS102" s="240"/>
      <c r="BT102" s="240"/>
      <c r="BU102" s="240"/>
      <c r="BV102" s="240"/>
      <c r="BW102" s="240"/>
      <c r="BX102" s="240"/>
      <c r="BY102" s="240"/>
      <c r="BZ102" s="240"/>
      <c r="CA102" s="240"/>
      <c r="CB102" s="240"/>
      <c r="CC102" s="240"/>
      <c r="CD102" s="240"/>
      <c r="CE102" s="240"/>
      <c r="CF102" s="238"/>
      <c r="CG102" s="240"/>
      <c r="CH102" s="240"/>
      <c r="CI102" s="240"/>
      <c r="CJ102" s="240"/>
      <c r="CK102" s="240"/>
      <c r="CL102" s="240"/>
      <c r="CM102" s="240"/>
      <c r="CN102" s="240"/>
      <c r="CO102" s="240"/>
      <c r="CP102" s="240"/>
      <c r="CQ102" s="240"/>
      <c r="CR102" s="240"/>
      <c r="CS102" s="238"/>
      <c r="CT102" s="240"/>
      <c r="CU102" s="240"/>
      <c r="CV102" s="240"/>
      <c r="CW102" s="240"/>
      <c r="CX102" s="240"/>
      <c r="CY102" s="240"/>
      <c r="CZ102" s="240"/>
      <c r="DA102" s="240"/>
      <c r="DB102" s="240"/>
      <c r="DC102" s="240"/>
      <c r="DD102" s="240"/>
      <c r="DE102" s="240"/>
      <c r="DF102" s="238"/>
      <c r="DG102" s="240"/>
      <c r="DH102" s="240"/>
      <c r="DI102" s="240"/>
      <c r="DJ102" s="240"/>
      <c r="DK102" s="240"/>
      <c r="DL102" s="240"/>
      <c r="DM102" s="240"/>
      <c r="DN102" s="240"/>
      <c r="DO102" s="240"/>
      <c r="DP102" s="240"/>
      <c r="DQ102" s="240"/>
      <c r="DR102" s="238"/>
      <c r="DS102" s="240"/>
      <c r="DT102" s="240"/>
      <c r="DU102" s="240"/>
      <c r="DV102" s="238"/>
      <c r="DW102" s="240"/>
      <c r="DX102" s="240"/>
      <c r="DY102" s="240"/>
      <c r="DZ102" s="240"/>
      <c r="EA102" s="240"/>
      <c r="EB102" s="240"/>
      <c r="EC102" s="240"/>
      <c r="ED102" s="240"/>
      <c r="EE102" s="240"/>
      <c r="EF102" s="238"/>
      <c r="EG102" s="240"/>
      <c r="EH102" s="240"/>
      <c r="EI102" s="240"/>
      <c r="EJ102" s="238"/>
      <c r="EK102" s="240"/>
      <c r="EL102" s="238"/>
      <c r="EM102" s="240"/>
      <c r="EN102" s="240"/>
      <c r="EO102" s="240"/>
      <c r="EP102" s="240"/>
      <c r="EQ102" s="240"/>
      <c r="ER102" s="240"/>
      <c r="ES102" s="240"/>
      <c r="ET102" s="240"/>
      <c r="EU102" s="240"/>
      <c r="EV102" s="240"/>
      <c r="EW102" s="240"/>
      <c r="EX102" s="238"/>
      <c r="EY102" s="240"/>
      <c r="EZ102" s="240"/>
      <c r="FA102" s="240"/>
      <c r="FB102" s="240"/>
      <c r="FC102" s="240"/>
      <c r="FD102" s="240"/>
      <c r="FE102" s="240"/>
      <c r="FF102" s="240"/>
      <c r="FG102" s="240"/>
      <c r="FH102" s="240"/>
      <c r="FI102" s="240"/>
      <c r="FJ102" s="240"/>
      <c r="FK102" s="240"/>
      <c r="FL102" s="240"/>
      <c r="FM102" s="240"/>
      <c r="FN102" s="240"/>
      <c r="FO102" s="238"/>
      <c r="FP102" s="240"/>
      <c r="FQ102" s="240"/>
      <c r="FR102" s="240"/>
      <c r="FS102" s="240"/>
      <c r="FT102" s="240"/>
      <c r="FU102" s="240"/>
      <c r="FV102" s="240"/>
      <c r="FW102" s="240"/>
      <c r="FX102" s="240"/>
      <c r="FY102" s="240"/>
      <c r="FZ102" s="238"/>
      <c r="GA102" s="240"/>
      <c r="GB102" s="240"/>
      <c r="GC102" s="238"/>
      <c r="GD102" s="240"/>
      <c r="GE102" s="240"/>
      <c r="GF102" s="240"/>
      <c r="GG102" s="240"/>
      <c r="GH102" s="238"/>
      <c r="GI102" s="240"/>
      <c r="GJ102" s="240"/>
      <c r="GK102" s="240"/>
      <c r="GL102" s="240"/>
      <c r="GM102" s="238"/>
      <c r="GN102" s="240"/>
      <c r="GO102" s="240"/>
      <c r="GP102" s="240"/>
      <c r="GQ102" s="240"/>
      <c r="GR102" s="240"/>
      <c r="GS102" s="240"/>
      <c r="GT102" s="240"/>
      <c r="GU102" s="240"/>
      <c r="GV102" s="240"/>
      <c r="GW102" s="240"/>
      <c r="GX102" s="240"/>
      <c r="GY102" s="240"/>
      <c r="GZ102" s="240"/>
      <c r="HA102" s="240"/>
      <c r="HB102" s="240"/>
      <c r="HC102" s="240"/>
      <c r="HD102" s="238"/>
      <c r="HE102" s="240"/>
      <c r="HF102" s="240"/>
      <c r="HG102" s="240"/>
      <c r="HH102" s="240"/>
      <c r="HI102" s="240"/>
      <c r="HJ102" s="238"/>
      <c r="HK102" s="240"/>
      <c r="HL102" s="238"/>
      <c r="HM102" s="241"/>
      <c r="HN102" s="235"/>
      <c r="HO102" s="235"/>
      <c r="HP102" s="235"/>
      <c r="HQ102" s="235"/>
    </row>
    <row r="103" spans="2:225" ht="37.5" hidden="1" outlineLevel="2" collapsed="1">
      <c r="B103" s="251" t="s">
        <v>713</v>
      </c>
      <c r="C103" s="252" t="str">
        <f>IF(E66='3. Dropdowns'!C111,"Hide","Show")</f>
        <v>Show</v>
      </c>
      <c r="D103" s="283" t="s">
        <v>3378</v>
      </c>
      <c r="E103" s="248"/>
      <c r="F103" s="284" t="str">
        <f>IF(E103='3. Dropdowns'!C113,"","Submittals, Products, Execution")</f>
        <v>Submittals, Products, Execution</v>
      </c>
      <c r="G103" s="268"/>
      <c r="H103" s="238"/>
      <c r="I103" s="239" t="s">
        <v>890</v>
      </c>
      <c r="J103" s="240"/>
      <c r="K103" s="240"/>
      <c r="L103" s="240"/>
      <c r="M103" s="240"/>
      <c r="N103" s="240"/>
      <c r="O103" s="240"/>
      <c r="P103" s="240"/>
      <c r="Q103" s="240"/>
      <c r="R103" s="240"/>
      <c r="S103" s="240"/>
      <c r="T103" s="240" t="s">
        <v>890</v>
      </c>
      <c r="U103" s="240"/>
      <c r="V103" s="240"/>
      <c r="W103" s="240"/>
      <c r="X103" s="238"/>
      <c r="Y103" s="240"/>
      <c r="Z103" s="240"/>
      <c r="AA103" s="240"/>
      <c r="AB103" s="240"/>
      <c r="AC103" s="240"/>
      <c r="AD103" s="240"/>
      <c r="AE103" s="240"/>
      <c r="AF103" s="240"/>
      <c r="AG103" s="240"/>
      <c r="AH103" s="238"/>
      <c r="AI103" s="240"/>
      <c r="AJ103" s="240"/>
      <c r="AK103" s="240"/>
      <c r="AL103" s="240"/>
      <c r="AM103" s="238"/>
      <c r="AN103" s="240"/>
      <c r="AO103" s="240"/>
      <c r="AP103" s="240"/>
      <c r="AQ103" s="238"/>
      <c r="AR103" s="240"/>
      <c r="AS103" s="240"/>
      <c r="AT103" s="240"/>
      <c r="AU103" s="240"/>
      <c r="AV103" s="240"/>
      <c r="AW103" s="240"/>
      <c r="AX103" s="240"/>
      <c r="AY103" s="240"/>
      <c r="AZ103" s="238"/>
      <c r="BA103" s="240"/>
      <c r="BB103" s="240"/>
      <c r="BC103" s="240"/>
      <c r="BD103" s="240"/>
      <c r="BE103" s="240"/>
      <c r="BF103" s="240"/>
      <c r="BG103" s="240"/>
      <c r="BH103" s="240"/>
      <c r="BI103" s="240"/>
      <c r="BJ103" s="240"/>
      <c r="BK103" s="240"/>
      <c r="BL103" s="240"/>
      <c r="BM103" s="240"/>
      <c r="BN103" s="240"/>
      <c r="BO103" s="240"/>
      <c r="BP103" s="238"/>
      <c r="BQ103" s="240"/>
      <c r="BR103" s="240"/>
      <c r="BS103" s="240"/>
      <c r="BT103" s="240"/>
      <c r="BU103" s="240"/>
      <c r="BV103" s="240"/>
      <c r="BW103" s="240"/>
      <c r="BX103" s="240"/>
      <c r="BY103" s="240"/>
      <c r="BZ103" s="240"/>
      <c r="CA103" s="240"/>
      <c r="CB103" s="240"/>
      <c r="CC103" s="240"/>
      <c r="CD103" s="240"/>
      <c r="CE103" s="240"/>
      <c r="CF103" s="238"/>
      <c r="CG103" s="240"/>
      <c r="CH103" s="240"/>
      <c r="CI103" s="240" t="s">
        <v>890</v>
      </c>
      <c r="CJ103" s="240"/>
      <c r="CK103" s="240"/>
      <c r="CL103" s="240"/>
      <c r="CM103" s="240"/>
      <c r="CN103" s="240"/>
      <c r="CO103" s="240"/>
      <c r="CP103" s="240"/>
      <c r="CQ103" s="240"/>
      <c r="CR103" s="240"/>
      <c r="CS103" s="238"/>
      <c r="CT103" s="240"/>
      <c r="CU103" s="240"/>
      <c r="CV103" s="240"/>
      <c r="CW103" s="240"/>
      <c r="CX103" s="240"/>
      <c r="CY103" s="240"/>
      <c r="CZ103" s="240"/>
      <c r="DA103" s="240"/>
      <c r="DB103" s="240"/>
      <c r="DC103" s="240"/>
      <c r="DD103" s="240"/>
      <c r="DE103" s="240"/>
      <c r="DF103" s="238"/>
      <c r="DG103" s="240"/>
      <c r="DH103" s="240"/>
      <c r="DI103" s="240"/>
      <c r="DJ103" s="240"/>
      <c r="DK103" s="240"/>
      <c r="DL103" s="240" t="s">
        <v>890</v>
      </c>
      <c r="DM103" s="240"/>
      <c r="DN103" s="240"/>
      <c r="DO103" s="240"/>
      <c r="DP103" s="240"/>
      <c r="DQ103" s="240"/>
      <c r="DR103" s="238"/>
      <c r="DS103" s="240"/>
      <c r="DT103" s="240"/>
      <c r="DU103" s="240"/>
      <c r="DV103" s="238"/>
      <c r="DW103" s="240"/>
      <c r="DX103" s="240"/>
      <c r="DY103" s="240"/>
      <c r="DZ103" s="240"/>
      <c r="EA103" s="240"/>
      <c r="EB103" s="240"/>
      <c r="EC103" s="240"/>
      <c r="ED103" s="240"/>
      <c r="EE103" s="240"/>
      <c r="EF103" s="238"/>
      <c r="EG103" s="240"/>
      <c r="EH103" s="240"/>
      <c r="EI103" s="240"/>
      <c r="EJ103" s="238"/>
      <c r="EK103" s="240"/>
      <c r="EL103" s="238"/>
      <c r="EM103" s="240"/>
      <c r="EN103" s="240"/>
      <c r="EO103" s="240"/>
      <c r="EP103" s="240"/>
      <c r="EQ103" s="240"/>
      <c r="ER103" s="240"/>
      <c r="ES103" s="240"/>
      <c r="ET103" s="240"/>
      <c r="EU103" s="240"/>
      <c r="EV103" s="240"/>
      <c r="EW103" s="240"/>
      <c r="EX103" s="238"/>
      <c r="EY103" s="240"/>
      <c r="EZ103" s="240"/>
      <c r="FA103" s="240"/>
      <c r="FB103" s="240"/>
      <c r="FC103" s="240"/>
      <c r="FD103" s="240"/>
      <c r="FE103" s="240"/>
      <c r="FF103" s="240"/>
      <c r="FG103" s="240"/>
      <c r="FH103" s="240"/>
      <c r="FI103" s="240"/>
      <c r="FJ103" s="240"/>
      <c r="FK103" s="240"/>
      <c r="FL103" s="240"/>
      <c r="FM103" s="240"/>
      <c r="FN103" s="240"/>
      <c r="FO103" s="238"/>
      <c r="FP103" s="240"/>
      <c r="FQ103" s="240"/>
      <c r="FR103" s="240"/>
      <c r="FS103" s="240"/>
      <c r="FT103" s="240"/>
      <c r="FU103" s="240"/>
      <c r="FV103" s="240"/>
      <c r="FW103" s="240"/>
      <c r="FX103" s="240"/>
      <c r="FY103" s="240"/>
      <c r="FZ103" s="238"/>
      <c r="GA103" s="240"/>
      <c r="GB103" s="240"/>
      <c r="GC103" s="238"/>
      <c r="GD103" s="240"/>
      <c r="GE103" s="240"/>
      <c r="GF103" s="240"/>
      <c r="GG103" s="240"/>
      <c r="GH103" s="238"/>
      <c r="GI103" s="240"/>
      <c r="GJ103" s="240"/>
      <c r="GK103" s="240"/>
      <c r="GL103" s="240"/>
      <c r="GM103" s="238"/>
      <c r="GN103" s="240"/>
      <c r="GO103" s="240"/>
      <c r="GP103" s="240"/>
      <c r="GQ103" s="240"/>
      <c r="GR103" s="240"/>
      <c r="GS103" s="240"/>
      <c r="GT103" s="240"/>
      <c r="GU103" s="240"/>
      <c r="GV103" s="240"/>
      <c r="GW103" s="240"/>
      <c r="GX103" s="240"/>
      <c r="GY103" s="240"/>
      <c r="GZ103" s="240"/>
      <c r="HA103" s="240"/>
      <c r="HB103" s="240"/>
      <c r="HC103" s="240"/>
      <c r="HD103" s="238"/>
      <c r="HE103" s="240"/>
      <c r="HF103" s="240"/>
      <c r="HG103" s="240"/>
      <c r="HH103" s="240"/>
      <c r="HI103" s="240"/>
      <c r="HJ103" s="238"/>
      <c r="HK103" s="240"/>
      <c r="HL103" s="238"/>
      <c r="HM103" s="241"/>
      <c r="HN103" s="235"/>
      <c r="HO103" s="235"/>
      <c r="HP103" s="235"/>
      <c r="HQ103" s="235"/>
    </row>
    <row r="104" spans="2:225" ht="37.5" hidden="1" outlineLevel="3">
      <c r="B104" s="251" t="s">
        <v>1784</v>
      </c>
      <c r="C104" s="252" t="str">
        <f>IF(E103='3. Dropdowns'!C113,"Hide",IF(E66='3. Dropdowns'!C111,"Hide","Show"))</f>
        <v>Show</v>
      </c>
      <c r="D104" s="283" t="s">
        <v>3208</v>
      </c>
      <c r="E104" s="248"/>
      <c r="F104" s="284" t="str">
        <f>IF(E104='3. Dropdowns'!C115,"","Execution")</f>
        <v>Execution</v>
      </c>
      <c r="G104" s="268"/>
      <c r="H104" s="238"/>
      <c r="I104" s="239" t="s">
        <v>890</v>
      </c>
      <c r="J104" s="240"/>
      <c r="K104" s="240"/>
      <c r="L104" s="240"/>
      <c r="M104" s="240"/>
      <c r="N104" s="240"/>
      <c r="O104" s="240"/>
      <c r="P104" s="240"/>
      <c r="Q104" s="240"/>
      <c r="R104" s="240"/>
      <c r="S104" s="240"/>
      <c r="T104" s="240" t="s">
        <v>890</v>
      </c>
      <c r="U104" s="240"/>
      <c r="V104" s="240"/>
      <c r="W104" s="240"/>
      <c r="X104" s="238"/>
      <c r="Y104" s="240"/>
      <c r="Z104" s="240"/>
      <c r="AA104" s="240"/>
      <c r="AB104" s="240"/>
      <c r="AC104" s="240"/>
      <c r="AD104" s="240"/>
      <c r="AE104" s="240"/>
      <c r="AF104" s="240"/>
      <c r="AG104" s="240"/>
      <c r="AH104" s="238"/>
      <c r="AI104" s="240"/>
      <c r="AJ104" s="240"/>
      <c r="AK104" s="240"/>
      <c r="AL104" s="240"/>
      <c r="AM104" s="238"/>
      <c r="AN104" s="240"/>
      <c r="AO104" s="240"/>
      <c r="AP104" s="240"/>
      <c r="AQ104" s="238"/>
      <c r="AR104" s="240"/>
      <c r="AS104" s="240"/>
      <c r="AT104" s="240"/>
      <c r="AU104" s="240"/>
      <c r="AV104" s="240"/>
      <c r="AW104" s="240"/>
      <c r="AX104" s="240"/>
      <c r="AY104" s="240"/>
      <c r="AZ104" s="238"/>
      <c r="BA104" s="240"/>
      <c r="BB104" s="240"/>
      <c r="BC104" s="240"/>
      <c r="BD104" s="240"/>
      <c r="BE104" s="240"/>
      <c r="BF104" s="240"/>
      <c r="BG104" s="240"/>
      <c r="BH104" s="240"/>
      <c r="BI104" s="240"/>
      <c r="BJ104" s="240"/>
      <c r="BK104" s="240"/>
      <c r="BL104" s="240"/>
      <c r="BM104" s="240"/>
      <c r="BN104" s="240"/>
      <c r="BO104" s="240"/>
      <c r="BP104" s="238"/>
      <c r="BQ104" s="240"/>
      <c r="BR104" s="240"/>
      <c r="BS104" s="240"/>
      <c r="BT104" s="240"/>
      <c r="BU104" s="240"/>
      <c r="BV104" s="240"/>
      <c r="BW104" s="240"/>
      <c r="BX104" s="240"/>
      <c r="BY104" s="240"/>
      <c r="BZ104" s="240"/>
      <c r="CA104" s="240"/>
      <c r="CB104" s="240"/>
      <c r="CC104" s="240"/>
      <c r="CD104" s="240"/>
      <c r="CE104" s="240"/>
      <c r="CF104" s="238"/>
      <c r="CG104" s="240"/>
      <c r="CH104" s="240"/>
      <c r="CI104" s="240" t="s">
        <v>890</v>
      </c>
      <c r="CJ104" s="240"/>
      <c r="CK104" s="240"/>
      <c r="CL104" s="240"/>
      <c r="CM104" s="240"/>
      <c r="CN104" s="240"/>
      <c r="CO104" s="240"/>
      <c r="CP104" s="240"/>
      <c r="CQ104" s="240"/>
      <c r="CR104" s="240"/>
      <c r="CS104" s="238"/>
      <c r="CT104" s="240"/>
      <c r="CU104" s="240"/>
      <c r="CV104" s="240"/>
      <c r="CW104" s="240"/>
      <c r="CX104" s="240"/>
      <c r="CY104" s="240"/>
      <c r="CZ104" s="240"/>
      <c r="DA104" s="240"/>
      <c r="DB104" s="240"/>
      <c r="DC104" s="240"/>
      <c r="DD104" s="240"/>
      <c r="DE104" s="240"/>
      <c r="DF104" s="238"/>
      <c r="DG104" s="240"/>
      <c r="DH104" s="240"/>
      <c r="DI104" s="240"/>
      <c r="DJ104" s="240"/>
      <c r="DK104" s="240"/>
      <c r="DL104" s="240"/>
      <c r="DM104" s="240"/>
      <c r="DN104" s="240"/>
      <c r="DO104" s="240"/>
      <c r="DP104" s="240"/>
      <c r="DQ104" s="240"/>
      <c r="DR104" s="238"/>
      <c r="DS104" s="240"/>
      <c r="DT104" s="240"/>
      <c r="DU104" s="240"/>
      <c r="DV104" s="238"/>
      <c r="DW104" s="240"/>
      <c r="DX104" s="240"/>
      <c r="DY104" s="240"/>
      <c r="DZ104" s="240"/>
      <c r="EA104" s="240"/>
      <c r="EB104" s="240"/>
      <c r="EC104" s="240"/>
      <c r="ED104" s="240"/>
      <c r="EE104" s="240"/>
      <c r="EF104" s="238"/>
      <c r="EG104" s="240"/>
      <c r="EH104" s="240"/>
      <c r="EI104" s="240"/>
      <c r="EJ104" s="238"/>
      <c r="EK104" s="240"/>
      <c r="EL104" s="238"/>
      <c r="EM104" s="240"/>
      <c r="EN104" s="240"/>
      <c r="EO104" s="240"/>
      <c r="EP104" s="240"/>
      <c r="EQ104" s="240"/>
      <c r="ER104" s="240"/>
      <c r="ES104" s="240"/>
      <c r="ET104" s="240"/>
      <c r="EU104" s="240"/>
      <c r="EV104" s="240"/>
      <c r="EW104" s="240"/>
      <c r="EX104" s="238"/>
      <c r="EY104" s="240"/>
      <c r="EZ104" s="240"/>
      <c r="FA104" s="240"/>
      <c r="FB104" s="240"/>
      <c r="FC104" s="240"/>
      <c r="FD104" s="240"/>
      <c r="FE104" s="240"/>
      <c r="FF104" s="240"/>
      <c r="FG104" s="240"/>
      <c r="FH104" s="240"/>
      <c r="FI104" s="240"/>
      <c r="FJ104" s="240"/>
      <c r="FK104" s="240"/>
      <c r="FL104" s="240"/>
      <c r="FM104" s="240"/>
      <c r="FN104" s="240"/>
      <c r="FO104" s="238"/>
      <c r="FP104" s="240"/>
      <c r="FQ104" s="240"/>
      <c r="FR104" s="240"/>
      <c r="FS104" s="240"/>
      <c r="FT104" s="240"/>
      <c r="FU104" s="240"/>
      <c r="FV104" s="240"/>
      <c r="FW104" s="240"/>
      <c r="FX104" s="240"/>
      <c r="FY104" s="240"/>
      <c r="FZ104" s="238"/>
      <c r="GA104" s="240"/>
      <c r="GB104" s="240"/>
      <c r="GC104" s="238"/>
      <c r="GD104" s="240"/>
      <c r="GE104" s="240"/>
      <c r="GF104" s="240"/>
      <c r="GG104" s="240"/>
      <c r="GH104" s="238"/>
      <c r="GI104" s="240"/>
      <c r="GJ104" s="240"/>
      <c r="GK104" s="240"/>
      <c r="GL104" s="240"/>
      <c r="GM104" s="238"/>
      <c r="GN104" s="240"/>
      <c r="GO104" s="240"/>
      <c r="GP104" s="240"/>
      <c r="GQ104" s="240"/>
      <c r="GR104" s="240"/>
      <c r="GS104" s="240"/>
      <c r="GT104" s="240"/>
      <c r="GU104" s="240"/>
      <c r="GV104" s="240"/>
      <c r="GW104" s="240"/>
      <c r="GX104" s="240"/>
      <c r="GY104" s="240"/>
      <c r="GZ104" s="240"/>
      <c r="HA104" s="240"/>
      <c r="HB104" s="240"/>
      <c r="HC104" s="240"/>
      <c r="HD104" s="238"/>
      <c r="HE104" s="240"/>
      <c r="HF104" s="240"/>
      <c r="HG104" s="240"/>
      <c r="HH104" s="240"/>
      <c r="HI104" s="240"/>
      <c r="HJ104" s="238"/>
      <c r="HK104" s="240"/>
      <c r="HL104" s="238"/>
      <c r="HM104" s="241"/>
      <c r="HN104" s="235"/>
      <c r="HO104" s="235"/>
      <c r="HP104" s="235"/>
      <c r="HQ104" s="235"/>
    </row>
    <row r="105" spans="2:225" ht="37.5" hidden="1" outlineLevel="3">
      <c r="B105" s="251" t="s">
        <v>1784</v>
      </c>
      <c r="C105" s="252" t="str">
        <f>IF(E103='3. Dropdowns'!C113,"Hide",IF(E66='3. Dropdowns'!C111,"Hide","Show"))</f>
        <v>Show</v>
      </c>
      <c r="D105" s="283" t="s">
        <v>3209</v>
      </c>
      <c r="E105" s="248"/>
      <c r="F105" s="284" t="str">
        <f>IF(E105='3. Dropdowns'!C115,"","Submittals, Products, Execution")</f>
        <v>Submittals, Products, Execution</v>
      </c>
      <c r="G105" s="268"/>
      <c r="H105" s="238"/>
      <c r="I105" s="239" t="s">
        <v>890</v>
      </c>
      <c r="J105" s="240"/>
      <c r="K105" s="240"/>
      <c r="L105" s="240"/>
      <c r="M105" s="240"/>
      <c r="N105" s="240"/>
      <c r="O105" s="240"/>
      <c r="P105" s="240"/>
      <c r="Q105" s="240"/>
      <c r="R105" s="240"/>
      <c r="S105" s="240"/>
      <c r="T105" s="240" t="s">
        <v>890</v>
      </c>
      <c r="U105" s="240"/>
      <c r="V105" s="240"/>
      <c r="W105" s="240"/>
      <c r="X105" s="238"/>
      <c r="Y105" s="240"/>
      <c r="Z105" s="240"/>
      <c r="AA105" s="240"/>
      <c r="AB105" s="240"/>
      <c r="AC105" s="240"/>
      <c r="AD105" s="240"/>
      <c r="AE105" s="240"/>
      <c r="AF105" s="240"/>
      <c r="AG105" s="240"/>
      <c r="AH105" s="238"/>
      <c r="AI105" s="240"/>
      <c r="AJ105" s="240"/>
      <c r="AK105" s="240"/>
      <c r="AL105" s="240"/>
      <c r="AM105" s="238"/>
      <c r="AN105" s="240"/>
      <c r="AO105" s="240"/>
      <c r="AP105" s="240"/>
      <c r="AQ105" s="238"/>
      <c r="AR105" s="240"/>
      <c r="AS105" s="240"/>
      <c r="AT105" s="240"/>
      <c r="AU105" s="240"/>
      <c r="AV105" s="240"/>
      <c r="AW105" s="240"/>
      <c r="AX105" s="240"/>
      <c r="AY105" s="240"/>
      <c r="AZ105" s="238"/>
      <c r="BA105" s="240"/>
      <c r="BB105" s="240"/>
      <c r="BC105" s="240"/>
      <c r="BD105" s="240"/>
      <c r="BE105" s="240"/>
      <c r="BF105" s="240"/>
      <c r="BG105" s="240"/>
      <c r="BH105" s="240"/>
      <c r="BI105" s="240"/>
      <c r="BJ105" s="240"/>
      <c r="BK105" s="240"/>
      <c r="BL105" s="240"/>
      <c r="BM105" s="240"/>
      <c r="BN105" s="240"/>
      <c r="BO105" s="240"/>
      <c r="BP105" s="238"/>
      <c r="BQ105" s="240"/>
      <c r="BR105" s="240"/>
      <c r="BS105" s="240"/>
      <c r="BT105" s="240"/>
      <c r="BU105" s="240"/>
      <c r="BV105" s="240"/>
      <c r="BW105" s="240"/>
      <c r="BX105" s="240"/>
      <c r="BY105" s="240"/>
      <c r="BZ105" s="240"/>
      <c r="CA105" s="240"/>
      <c r="CB105" s="240"/>
      <c r="CC105" s="240"/>
      <c r="CD105" s="240"/>
      <c r="CE105" s="240"/>
      <c r="CF105" s="238"/>
      <c r="CG105" s="240"/>
      <c r="CH105" s="240"/>
      <c r="CI105" s="240" t="s">
        <v>890</v>
      </c>
      <c r="CJ105" s="240"/>
      <c r="CK105" s="240"/>
      <c r="CL105" s="240"/>
      <c r="CM105" s="240"/>
      <c r="CN105" s="240"/>
      <c r="CO105" s="240"/>
      <c r="CP105" s="240"/>
      <c r="CQ105" s="240"/>
      <c r="CR105" s="240"/>
      <c r="CS105" s="238"/>
      <c r="CT105" s="240"/>
      <c r="CU105" s="240"/>
      <c r="CV105" s="240"/>
      <c r="CW105" s="240"/>
      <c r="CX105" s="240"/>
      <c r="CY105" s="240"/>
      <c r="CZ105" s="240"/>
      <c r="DA105" s="240"/>
      <c r="DB105" s="240"/>
      <c r="DC105" s="240"/>
      <c r="DD105" s="240"/>
      <c r="DE105" s="240"/>
      <c r="DF105" s="238"/>
      <c r="DG105" s="240"/>
      <c r="DH105" s="240"/>
      <c r="DI105" s="240"/>
      <c r="DJ105" s="240"/>
      <c r="DK105" s="240"/>
      <c r="DL105" s="240" t="s">
        <v>890</v>
      </c>
      <c r="DM105" s="240"/>
      <c r="DN105" s="240"/>
      <c r="DO105" s="240"/>
      <c r="DP105" s="240"/>
      <c r="DQ105" s="240"/>
      <c r="DR105" s="238"/>
      <c r="DS105" s="240"/>
      <c r="DT105" s="240"/>
      <c r="DU105" s="240"/>
      <c r="DV105" s="238"/>
      <c r="DW105" s="240"/>
      <c r="DX105" s="240"/>
      <c r="DY105" s="240"/>
      <c r="DZ105" s="240"/>
      <c r="EA105" s="240"/>
      <c r="EB105" s="240"/>
      <c r="EC105" s="240"/>
      <c r="ED105" s="240"/>
      <c r="EE105" s="240"/>
      <c r="EF105" s="238"/>
      <c r="EG105" s="240"/>
      <c r="EH105" s="240"/>
      <c r="EI105" s="240"/>
      <c r="EJ105" s="238"/>
      <c r="EK105" s="240"/>
      <c r="EL105" s="238"/>
      <c r="EM105" s="240"/>
      <c r="EN105" s="240"/>
      <c r="EO105" s="240"/>
      <c r="EP105" s="240"/>
      <c r="EQ105" s="240"/>
      <c r="ER105" s="240"/>
      <c r="ES105" s="240"/>
      <c r="ET105" s="240"/>
      <c r="EU105" s="240"/>
      <c r="EV105" s="240"/>
      <c r="EW105" s="240"/>
      <c r="EX105" s="238"/>
      <c r="EY105" s="240"/>
      <c r="EZ105" s="240"/>
      <c r="FA105" s="240"/>
      <c r="FB105" s="240"/>
      <c r="FC105" s="240"/>
      <c r="FD105" s="240"/>
      <c r="FE105" s="240"/>
      <c r="FF105" s="240"/>
      <c r="FG105" s="240"/>
      <c r="FH105" s="240"/>
      <c r="FI105" s="240"/>
      <c r="FJ105" s="240"/>
      <c r="FK105" s="240"/>
      <c r="FL105" s="240"/>
      <c r="FM105" s="240"/>
      <c r="FN105" s="240"/>
      <c r="FO105" s="238"/>
      <c r="FP105" s="240"/>
      <c r="FQ105" s="240"/>
      <c r="FR105" s="240"/>
      <c r="FS105" s="240"/>
      <c r="FT105" s="240"/>
      <c r="FU105" s="240"/>
      <c r="FV105" s="240"/>
      <c r="FW105" s="240"/>
      <c r="FX105" s="240"/>
      <c r="FY105" s="240"/>
      <c r="FZ105" s="238"/>
      <c r="GA105" s="240"/>
      <c r="GB105" s="240"/>
      <c r="GC105" s="238"/>
      <c r="GD105" s="240"/>
      <c r="GE105" s="240"/>
      <c r="GF105" s="240"/>
      <c r="GG105" s="240"/>
      <c r="GH105" s="238"/>
      <c r="GI105" s="240"/>
      <c r="GJ105" s="240"/>
      <c r="GK105" s="240"/>
      <c r="GL105" s="240"/>
      <c r="GM105" s="238"/>
      <c r="GN105" s="240"/>
      <c r="GO105" s="240"/>
      <c r="GP105" s="240"/>
      <c r="GQ105" s="240"/>
      <c r="GR105" s="240"/>
      <c r="GS105" s="240"/>
      <c r="GT105" s="240"/>
      <c r="GU105" s="240"/>
      <c r="GV105" s="240"/>
      <c r="GW105" s="240"/>
      <c r="GX105" s="240"/>
      <c r="GY105" s="240"/>
      <c r="GZ105" s="240"/>
      <c r="HA105" s="240"/>
      <c r="HB105" s="240"/>
      <c r="HC105" s="240"/>
      <c r="HD105" s="238"/>
      <c r="HE105" s="240"/>
      <c r="HF105" s="240"/>
      <c r="HG105" s="240"/>
      <c r="HH105" s="240"/>
      <c r="HI105" s="240"/>
      <c r="HJ105" s="238"/>
      <c r="HK105" s="240"/>
      <c r="HL105" s="238"/>
      <c r="HM105" s="241"/>
      <c r="HN105" s="235"/>
      <c r="HO105" s="235"/>
      <c r="HP105" s="235"/>
      <c r="HQ105" s="235"/>
    </row>
    <row r="106" spans="2:225" ht="37.5" hidden="1" outlineLevel="3">
      <c r="B106" s="251" t="s">
        <v>1784</v>
      </c>
      <c r="C106" s="252" t="str">
        <f>IF(E103='3. Dropdowns'!C113,"Hide",IF(E66='3. Dropdowns'!C111,"Hide","Show"))</f>
        <v>Show</v>
      </c>
      <c r="D106" s="283" t="s">
        <v>3210</v>
      </c>
      <c r="E106" s="248"/>
      <c r="F106" s="284" t="str">
        <f>IF(E106='3. Dropdowns'!C115,"","Submittals, Products, Execution")</f>
        <v>Submittals, Products, Execution</v>
      </c>
      <c r="G106" s="268"/>
      <c r="H106" s="238"/>
      <c r="I106" s="239" t="s">
        <v>890</v>
      </c>
      <c r="J106" s="240"/>
      <c r="K106" s="240"/>
      <c r="L106" s="240"/>
      <c r="M106" s="240"/>
      <c r="N106" s="240"/>
      <c r="O106" s="240"/>
      <c r="P106" s="240"/>
      <c r="Q106" s="240"/>
      <c r="R106" s="240"/>
      <c r="S106" s="240"/>
      <c r="T106" s="240" t="s">
        <v>890</v>
      </c>
      <c r="U106" s="240"/>
      <c r="V106" s="240"/>
      <c r="W106" s="240"/>
      <c r="X106" s="238"/>
      <c r="Y106" s="240"/>
      <c r="Z106" s="240"/>
      <c r="AA106" s="240"/>
      <c r="AB106" s="240"/>
      <c r="AC106" s="240"/>
      <c r="AD106" s="240"/>
      <c r="AE106" s="240"/>
      <c r="AF106" s="240"/>
      <c r="AG106" s="240"/>
      <c r="AH106" s="238"/>
      <c r="AI106" s="240"/>
      <c r="AJ106" s="240"/>
      <c r="AK106" s="240"/>
      <c r="AL106" s="240"/>
      <c r="AM106" s="238"/>
      <c r="AN106" s="240"/>
      <c r="AO106" s="240"/>
      <c r="AP106" s="240"/>
      <c r="AQ106" s="238"/>
      <c r="AR106" s="240"/>
      <c r="AS106" s="240"/>
      <c r="AT106" s="240"/>
      <c r="AU106" s="240"/>
      <c r="AV106" s="240"/>
      <c r="AW106" s="240"/>
      <c r="AX106" s="240"/>
      <c r="AY106" s="240"/>
      <c r="AZ106" s="238"/>
      <c r="BA106" s="240"/>
      <c r="BB106" s="240"/>
      <c r="BC106" s="240"/>
      <c r="BD106" s="240"/>
      <c r="BE106" s="240"/>
      <c r="BF106" s="240"/>
      <c r="BG106" s="240"/>
      <c r="BH106" s="240"/>
      <c r="BI106" s="240"/>
      <c r="BJ106" s="240"/>
      <c r="BK106" s="240"/>
      <c r="BL106" s="240"/>
      <c r="BM106" s="240"/>
      <c r="BN106" s="240"/>
      <c r="BO106" s="240"/>
      <c r="BP106" s="238"/>
      <c r="BQ106" s="240"/>
      <c r="BR106" s="240"/>
      <c r="BS106" s="240"/>
      <c r="BT106" s="240"/>
      <c r="BU106" s="240"/>
      <c r="BV106" s="240"/>
      <c r="BW106" s="240"/>
      <c r="BX106" s="240"/>
      <c r="BY106" s="240"/>
      <c r="BZ106" s="240"/>
      <c r="CA106" s="240"/>
      <c r="CB106" s="240"/>
      <c r="CC106" s="240"/>
      <c r="CD106" s="240"/>
      <c r="CE106" s="240"/>
      <c r="CF106" s="238"/>
      <c r="CG106" s="240"/>
      <c r="CH106" s="240"/>
      <c r="CI106" s="240" t="s">
        <v>890</v>
      </c>
      <c r="CJ106" s="240"/>
      <c r="CK106" s="240"/>
      <c r="CL106" s="240"/>
      <c r="CM106" s="240"/>
      <c r="CN106" s="240"/>
      <c r="CO106" s="240"/>
      <c r="CP106" s="240"/>
      <c r="CQ106" s="240"/>
      <c r="CR106" s="240"/>
      <c r="CS106" s="238"/>
      <c r="CT106" s="240"/>
      <c r="CU106" s="240"/>
      <c r="CV106" s="240"/>
      <c r="CW106" s="240"/>
      <c r="CX106" s="240"/>
      <c r="CY106" s="240"/>
      <c r="CZ106" s="240"/>
      <c r="DA106" s="240"/>
      <c r="DB106" s="240"/>
      <c r="DC106" s="240"/>
      <c r="DD106" s="240"/>
      <c r="DE106" s="240"/>
      <c r="DF106" s="238"/>
      <c r="DG106" s="240"/>
      <c r="DH106" s="240"/>
      <c r="DI106" s="240"/>
      <c r="DJ106" s="240"/>
      <c r="DK106" s="240"/>
      <c r="DL106" s="240" t="s">
        <v>890</v>
      </c>
      <c r="DM106" s="240"/>
      <c r="DN106" s="240"/>
      <c r="DO106" s="240"/>
      <c r="DP106" s="240"/>
      <c r="DQ106" s="240"/>
      <c r="DR106" s="238"/>
      <c r="DS106" s="240"/>
      <c r="DT106" s="240"/>
      <c r="DU106" s="240"/>
      <c r="DV106" s="238"/>
      <c r="DW106" s="240"/>
      <c r="DX106" s="240"/>
      <c r="DY106" s="240"/>
      <c r="DZ106" s="240"/>
      <c r="EA106" s="240"/>
      <c r="EB106" s="240"/>
      <c r="EC106" s="240"/>
      <c r="ED106" s="240"/>
      <c r="EE106" s="240"/>
      <c r="EF106" s="238"/>
      <c r="EG106" s="240"/>
      <c r="EH106" s="240"/>
      <c r="EI106" s="240"/>
      <c r="EJ106" s="238"/>
      <c r="EK106" s="240"/>
      <c r="EL106" s="238"/>
      <c r="EM106" s="240"/>
      <c r="EN106" s="240"/>
      <c r="EO106" s="240"/>
      <c r="EP106" s="240"/>
      <c r="EQ106" s="240"/>
      <c r="ER106" s="240"/>
      <c r="ES106" s="240"/>
      <c r="ET106" s="240"/>
      <c r="EU106" s="240"/>
      <c r="EV106" s="240"/>
      <c r="EW106" s="240"/>
      <c r="EX106" s="238"/>
      <c r="EY106" s="240"/>
      <c r="EZ106" s="240"/>
      <c r="FA106" s="240"/>
      <c r="FB106" s="240"/>
      <c r="FC106" s="240"/>
      <c r="FD106" s="240"/>
      <c r="FE106" s="240"/>
      <c r="FF106" s="240"/>
      <c r="FG106" s="240"/>
      <c r="FH106" s="240"/>
      <c r="FI106" s="240"/>
      <c r="FJ106" s="240"/>
      <c r="FK106" s="240"/>
      <c r="FL106" s="240"/>
      <c r="FM106" s="240"/>
      <c r="FN106" s="240"/>
      <c r="FO106" s="238"/>
      <c r="FP106" s="240"/>
      <c r="FQ106" s="240"/>
      <c r="FR106" s="240"/>
      <c r="FS106" s="240"/>
      <c r="FT106" s="240"/>
      <c r="FU106" s="240"/>
      <c r="FV106" s="240"/>
      <c r="FW106" s="240"/>
      <c r="FX106" s="240"/>
      <c r="FY106" s="240"/>
      <c r="FZ106" s="238"/>
      <c r="GA106" s="240"/>
      <c r="GB106" s="240"/>
      <c r="GC106" s="238"/>
      <c r="GD106" s="240"/>
      <c r="GE106" s="240"/>
      <c r="GF106" s="240"/>
      <c r="GG106" s="240"/>
      <c r="GH106" s="238"/>
      <c r="GI106" s="240"/>
      <c r="GJ106" s="240"/>
      <c r="GK106" s="240"/>
      <c r="GL106" s="240"/>
      <c r="GM106" s="238"/>
      <c r="GN106" s="240"/>
      <c r="GO106" s="240"/>
      <c r="GP106" s="240"/>
      <c r="GQ106" s="240"/>
      <c r="GR106" s="240"/>
      <c r="GS106" s="240"/>
      <c r="GT106" s="240"/>
      <c r="GU106" s="240"/>
      <c r="GV106" s="240"/>
      <c r="GW106" s="240"/>
      <c r="GX106" s="240"/>
      <c r="GY106" s="240"/>
      <c r="GZ106" s="240"/>
      <c r="HA106" s="240"/>
      <c r="HB106" s="240"/>
      <c r="HC106" s="240"/>
      <c r="HD106" s="238"/>
      <c r="HE106" s="240"/>
      <c r="HF106" s="240"/>
      <c r="HG106" s="240"/>
      <c r="HH106" s="240"/>
      <c r="HI106" s="240"/>
      <c r="HJ106" s="238"/>
      <c r="HK106" s="240"/>
      <c r="HL106" s="238"/>
      <c r="HM106" s="241"/>
      <c r="HN106" s="235"/>
      <c r="HO106" s="235"/>
      <c r="HP106" s="235"/>
      <c r="HQ106" s="235"/>
    </row>
    <row r="107" spans="2:225" ht="37.5" hidden="1" outlineLevel="2" collapsed="1">
      <c r="B107" s="251" t="s">
        <v>713</v>
      </c>
      <c r="C107" s="252" t="str">
        <f>IF(E66='3. Dropdowns'!C111,"Hide","Show")</f>
        <v>Show</v>
      </c>
      <c r="D107" s="283" t="s">
        <v>3379</v>
      </c>
      <c r="E107" s="248"/>
      <c r="F107" s="284" t="str">
        <f>IF(E107='3. Dropdowns'!C113,"","Submittals, Products, Execution")</f>
        <v>Submittals, Products, Execution</v>
      </c>
      <c r="G107" s="268"/>
      <c r="H107" s="238"/>
      <c r="I107" s="239" t="s">
        <v>890</v>
      </c>
      <c r="J107" s="240"/>
      <c r="K107" s="240"/>
      <c r="L107" s="240"/>
      <c r="M107" s="240"/>
      <c r="N107" s="240"/>
      <c r="O107" s="240"/>
      <c r="P107" s="240"/>
      <c r="Q107" s="240"/>
      <c r="R107" s="240"/>
      <c r="S107" s="240"/>
      <c r="T107" s="240" t="s">
        <v>890</v>
      </c>
      <c r="U107" s="240"/>
      <c r="V107" s="240"/>
      <c r="W107" s="240"/>
      <c r="X107" s="238"/>
      <c r="Y107" s="240"/>
      <c r="Z107" s="240"/>
      <c r="AA107" s="240"/>
      <c r="AB107" s="240"/>
      <c r="AC107" s="240"/>
      <c r="AD107" s="240"/>
      <c r="AE107" s="240"/>
      <c r="AF107" s="240"/>
      <c r="AG107" s="240"/>
      <c r="AH107" s="238"/>
      <c r="AI107" s="240" t="s">
        <v>890</v>
      </c>
      <c r="AJ107" s="240"/>
      <c r="AK107" s="240"/>
      <c r="AL107" s="240"/>
      <c r="AM107" s="238"/>
      <c r="AN107" s="240" t="s">
        <v>890</v>
      </c>
      <c r="AO107" s="240" t="s">
        <v>890</v>
      </c>
      <c r="AP107" s="240" t="s">
        <v>890</v>
      </c>
      <c r="AQ107" s="238"/>
      <c r="AR107" s="240"/>
      <c r="AS107" s="240"/>
      <c r="AT107" s="240"/>
      <c r="AU107" s="240"/>
      <c r="AV107" s="240"/>
      <c r="AW107" s="240"/>
      <c r="AX107" s="240"/>
      <c r="AY107" s="240"/>
      <c r="AZ107" s="238"/>
      <c r="BA107" s="240" t="s">
        <v>890</v>
      </c>
      <c r="BB107" s="240"/>
      <c r="BC107" s="240"/>
      <c r="BD107" s="240"/>
      <c r="BE107" s="240"/>
      <c r="BF107" s="240"/>
      <c r="BG107" s="240"/>
      <c r="BH107" s="240" t="s">
        <v>890</v>
      </c>
      <c r="BI107" s="240"/>
      <c r="BJ107" s="240"/>
      <c r="BK107" s="240"/>
      <c r="BL107" s="240"/>
      <c r="BM107" s="240"/>
      <c r="BN107" s="240"/>
      <c r="BO107" s="240"/>
      <c r="BP107" s="238"/>
      <c r="BQ107" s="240"/>
      <c r="BR107" s="240"/>
      <c r="BS107" s="240"/>
      <c r="BT107" s="240"/>
      <c r="BU107" s="240"/>
      <c r="BV107" s="240"/>
      <c r="BW107" s="240"/>
      <c r="BX107" s="240"/>
      <c r="BY107" s="240"/>
      <c r="BZ107" s="240" t="s">
        <v>890</v>
      </c>
      <c r="CA107" s="240"/>
      <c r="CB107" s="240"/>
      <c r="CC107" s="240"/>
      <c r="CD107" s="240"/>
      <c r="CE107" s="240"/>
      <c r="CF107" s="238"/>
      <c r="CG107" s="240"/>
      <c r="CH107" s="240"/>
      <c r="CI107" s="240"/>
      <c r="CJ107" s="240"/>
      <c r="CK107" s="240"/>
      <c r="CL107" s="240"/>
      <c r="CM107" s="240"/>
      <c r="CN107" s="240"/>
      <c r="CO107" s="240"/>
      <c r="CP107" s="240"/>
      <c r="CQ107" s="240"/>
      <c r="CR107" s="240"/>
      <c r="CS107" s="238"/>
      <c r="CT107" s="240"/>
      <c r="CU107" s="240"/>
      <c r="CV107" s="240"/>
      <c r="CW107" s="240"/>
      <c r="CX107" s="240"/>
      <c r="CY107" s="240"/>
      <c r="CZ107" s="240"/>
      <c r="DA107" s="240"/>
      <c r="DB107" s="240"/>
      <c r="DC107" s="240"/>
      <c r="DD107" s="240"/>
      <c r="DE107" s="240"/>
      <c r="DF107" s="238"/>
      <c r="DG107" s="240"/>
      <c r="DH107" s="240"/>
      <c r="DI107" s="240"/>
      <c r="DJ107" s="240"/>
      <c r="DK107" s="240"/>
      <c r="DL107" s="240"/>
      <c r="DM107" s="240"/>
      <c r="DN107" s="240"/>
      <c r="DO107" s="240"/>
      <c r="DP107" s="240"/>
      <c r="DQ107" s="240"/>
      <c r="DR107" s="238"/>
      <c r="DS107" s="240"/>
      <c r="DT107" s="240"/>
      <c r="DU107" s="240"/>
      <c r="DV107" s="238"/>
      <c r="DW107" s="240"/>
      <c r="DX107" s="240"/>
      <c r="DY107" s="240"/>
      <c r="DZ107" s="240"/>
      <c r="EA107" s="240"/>
      <c r="EB107" s="240"/>
      <c r="EC107" s="240"/>
      <c r="ED107" s="240"/>
      <c r="EE107" s="240"/>
      <c r="EF107" s="238"/>
      <c r="EG107" s="240"/>
      <c r="EH107" s="240"/>
      <c r="EI107" s="240"/>
      <c r="EJ107" s="238"/>
      <c r="EK107" s="240"/>
      <c r="EL107" s="238"/>
      <c r="EM107" s="240"/>
      <c r="EN107" s="240"/>
      <c r="EO107" s="240"/>
      <c r="EP107" s="240"/>
      <c r="EQ107" s="240"/>
      <c r="ER107" s="240"/>
      <c r="ES107" s="240"/>
      <c r="ET107" s="240"/>
      <c r="EU107" s="240"/>
      <c r="EV107" s="240"/>
      <c r="EW107" s="240"/>
      <c r="EX107" s="238"/>
      <c r="EY107" s="240"/>
      <c r="EZ107" s="240"/>
      <c r="FA107" s="240"/>
      <c r="FB107" s="240"/>
      <c r="FC107" s="240"/>
      <c r="FD107" s="240"/>
      <c r="FE107" s="240"/>
      <c r="FF107" s="240"/>
      <c r="FG107" s="240"/>
      <c r="FH107" s="240"/>
      <c r="FI107" s="240"/>
      <c r="FJ107" s="240"/>
      <c r="FK107" s="240"/>
      <c r="FL107" s="240"/>
      <c r="FM107" s="240"/>
      <c r="FN107" s="240"/>
      <c r="FO107" s="238"/>
      <c r="FP107" s="240"/>
      <c r="FQ107" s="240"/>
      <c r="FR107" s="240"/>
      <c r="FS107" s="240"/>
      <c r="FT107" s="240"/>
      <c r="FU107" s="240"/>
      <c r="FV107" s="240"/>
      <c r="FW107" s="240"/>
      <c r="FX107" s="240"/>
      <c r="FY107" s="240"/>
      <c r="FZ107" s="238"/>
      <c r="GA107" s="240"/>
      <c r="GB107" s="240"/>
      <c r="GC107" s="238"/>
      <c r="GD107" s="240"/>
      <c r="GE107" s="240"/>
      <c r="GF107" s="240"/>
      <c r="GG107" s="240"/>
      <c r="GH107" s="238"/>
      <c r="GI107" s="240"/>
      <c r="GJ107" s="240"/>
      <c r="GK107" s="240"/>
      <c r="GL107" s="240"/>
      <c r="GM107" s="238"/>
      <c r="GN107" s="240"/>
      <c r="GO107" s="240"/>
      <c r="GP107" s="240"/>
      <c r="GQ107" s="240"/>
      <c r="GR107" s="240"/>
      <c r="GS107" s="240"/>
      <c r="GT107" s="240"/>
      <c r="GU107" s="240"/>
      <c r="GV107" s="240"/>
      <c r="GW107" s="240"/>
      <c r="GX107" s="240"/>
      <c r="GY107" s="240"/>
      <c r="GZ107" s="240"/>
      <c r="HA107" s="240"/>
      <c r="HB107" s="240"/>
      <c r="HC107" s="240"/>
      <c r="HD107" s="238"/>
      <c r="HE107" s="240"/>
      <c r="HF107" s="240"/>
      <c r="HG107" s="240"/>
      <c r="HH107" s="240"/>
      <c r="HI107" s="240"/>
      <c r="HJ107" s="238"/>
      <c r="HK107" s="240"/>
      <c r="HL107" s="238"/>
      <c r="HM107" s="241"/>
      <c r="HN107" s="235"/>
      <c r="HO107" s="235"/>
      <c r="HP107" s="235"/>
      <c r="HQ107" s="235"/>
    </row>
    <row r="108" spans="2:225" ht="37.5" hidden="1" outlineLevel="3">
      <c r="B108" s="251" t="s">
        <v>1785</v>
      </c>
      <c r="C108" s="252" t="str">
        <f>IF(E107='3. Dropdowns'!C113,"Hide",IF(E66='3. Dropdowns'!C111,"Hide","Show"))</f>
        <v>Show</v>
      </c>
      <c r="D108" s="283" t="s">
        <v>3211</v>
      </c>
      <c r="E108" s="248"/>
      <c r="F108" s="284" t="str">
        <f>IF(E108='3. Dropdowns'!C115,"","Execution")</f>
        <v>Execution</v>
      </c>
      <c r="G108" s="268"/>
      <c r="H108" s="238"/>
      <c r="I108" s="239" t="s">
        <v>890</v>
      </c>
      <c r="J108" s="240"/>
      <c r="K108" s="240"/>
      <c r="L108" s="240"/>
      <c r="M108" s="240"/>
      <c r="N108" s="240"/>
      <c r="O108" s="240"/>
      <c r="P108" s="240"/>
      <c r="Q108" s="240"/>
      <c r="R108" s="240"/>
      <c r="S108" s="240"/>
      <c r="T108" s="240" t="s">
        <v>890</v>
      </c>
      <c r="U108" s="240"/>
      <c r="V108" s="240"/>
      <c r="W108" s="240"/>
      <c r="X108" s="238"/>
      <c r="Y108" s="240"/>
      <c r="Z108" s="240"/>
      <c r="AA108" s="240"/>
      <c r="AB108" s="240"/>
      <c r="AC108" s="240"/>
      <c r="AD108" s="240"/>
      <c r="AE108" s="240"/>
      <c r="AF108" s="240"/>
      <c r="AG108" s="240"/>
      <c r="AH108" s="238"/>
      <c r="AI108" s="240"/>
      <c r="AJ108" s="240"/>
      <c r="AK108" s="240"/>
      <c r="AL108" s="240"/>
      <c r="AM108" s="238"/>
      <c r="AN108" s="240"/>
      <c r="AO108" s="240"/>
      <c r="AP108" s="240"/>
      <c r="AQ108" s="238"/>
      <c r="AR108" s="240"/>
      <c r="AS108" s="240"/>
      <c r="AT108" s="240"/>
      <c r="AU108" s="240"/>
      <c r="AV108" s="240"/>
      <c r="AW108" s="240"/>
      <c r="AX108" s="240"/>
      <c r="AY108" s="240"/>
      <c r="AZ108" s="238"/>
      <c r="BA108" s="240" t="s">
        <v>890</v>
      </c>
      <c r="BB108" s="240"/>
      <c r="BC108" s="240"/>
      <c r="BD108" s="240"/>
      <c r="BE108" s="240"/>
      <c r="BF108" s="240"/>
      <c r="BG108" s="240"/>
      <c r="BH108" s="240" t="s">
        <v>890</v>
      </c>
      <c r="BI108" s="240"/>
      <c r="BJ108" s="240"/>
      <c r="BK108" s="240"/>
      <c r="BL108" s="240"/>
      <c r="BM108" s="240"/>
      <c r="BN108" s="240"/>
      <c r="BO108" s="240"/>
      <c r="BP108" s="238"/>
      <c r="BQ108" s="240"/>
      <c r="BR108" s="240"/>
      <c r="BS108" s="240"/>
      <c r="BT108" s="240"/>
      <c r="BU108" s="240"/>
      <c r="BV108" s="240"/>
      <c r="BW108" s="240"/>
      <c r="BX108" s="240"/>
      <c r="BY108" s="240"/>
      <c r="BZ108" s="240"/>
      <c r="CA108" s="240"/>
      <c r="CB108" s="240"/>
      <c r="CC108" s="240"/>
      <c r="CD108" s="240"/>
      <c r="CE108" s="240"/>
      <c r="CF108" s="238"/>
      <c r="CG108" s="240"/>
      <c r="CH108" s="240"/>
      <c r="CI108" s="240"/>
      <c r="CJ108" s="240"/>
      <c r="CK108" s="240"/>
      <c r="CL108" s="240"/>
      <c r="CM108" s="240"/>
      <c r="CN108" s="240"/>
      <c r="CO108" s="240"/>
      <c r="CP108" s="240"/>
      <c r="CQ108" s="240"/>
      <c r="CR108" s="240"/>
      <c r="CS108" s="238"/>
      <c r="CT108" s="240"/>
      <c r="CU108" s="240"/>
      <c r="CV108" s="240"/>
      <c r="CW108" s="240"/>
      <c r="CX108" s="240"/>
      <c r="CY108" s="240"/>
      <c r="CZ108" s="240"/>
      <c r="DA108" s="240"/>
      <c r="DB108" s="240"/>
      <c r="DC108" s="240"/>
      <c r="DD108" s="240"/>
      <c r="DE108" s="240"/>
      <c r="DF108" s="238"/>
      <c r="DG108" s="240"/>
      <c r="DH108" s="240"/>
      <c r="DI108" s="240"/>
      <c r="DJ108" s="240"/>
      <c r="DK108" s="240"/>
      <c r="DL108" s="240"/>
      <c r="DM108" s="240"/>
      <c r="DN108" s="240"/>
      <c r="DO108" s="240"/>
      <c r="DP108" s="240"/>
      <c r="DQ108" s="240"/>
      <c r="DR108" s="238"/>
      <c r="DS108" s="240"/>
      <c r="DT108" s="240"/>
      <c r="DU108" s="240"/>
      <c r="DV108" s="238"/>
      <c r="DW108" s="240"/>
      <c r="DX108" s="240"/>
      <c r="DY108" s="240"/>
      <c r="DZ108" s="240"/>
      <c r="EA108" s="240"/>
      <c r="EB108" s="240"/>
      <c r="EC108" s="240"/>
      <c r="ED108" s="240"/>
      <c r="EE108" s="240"/>
      <c r="EF108" s="238"/>
      <c r="EG108" s="240"/>
      <c r="EH108" s="240"/>
      <c r="EI108" s="240"/>
      <c r="EJ108" s="238"/>
      <c r="EK108" s="240"/>
      <c r="EL108" s="238"/>
      <c r="EM108" s="240"/>
      <c r="EN108" s="240"/>
      <c r="EO108" s="240"/>
      <c r="EP108" s="240"/>
      <c r="EQ108" s="240"/>
      <c r="ER108" s="240"/>
      <c r="ES108" s="240"/>
      <c r="ET108" s="240"/>
      <c r="EU108" s="240"/>
      <c r="EV108" s="240"/>
      <c r="EW108" s="240"/>
      <c r="EX108" s="238"/>
      <c r="EY108" s="240"/>
      <c r="EZ108" s="240"/>
      <c r="FA108" s="240"/>
      <c r="FB108" s="240"/>
      <c r="FC108" s="240"/>
      <c r="FD108" s="240"/>
      <c r="FE108" s="240"/>
      <c r="FF108" s="240"/>
      <c r="FG108" s="240"/>
      <c r="FH108" s="240"/>
      <c r="FI108" s="240"/>
      <c r="FJ108" s="240"/>
      <c r="FK108" s="240"/>
      <c r="FL108" s="240"/>
      <c r="FM108" s="240"/>
      <c r="FN108" s="240"/>
      <c r="FO108" s="238"/>
      <c r="FP108" s="240"/>
      <c r="FQ108" s="240"/>
      <c r="FR108" s="240"/>
      <c r="FS108" s="240"/>
      <c r="FT108" s="240"/>
      <c r="FU108" s="240"/>
      <c r="FV108" s="240"/>
      <c r="FW108" s="240"/>
      <c r="FX108" s="240"/>
      <c r="FY108" s="240"/>
      <c r="FZ108" s="238"/>
      <c r="GA108" s="240"/>
      <c r="GB108" s="240"/>
      <c r="GC108" s="238"/>
      <c r="GD108" s="240"/>
      <c r="GE108" s="240"/>
      <c r="GF108" s="240"/>
      <c r="GG108" s="240"/>
      <c r="GH108" s="238"/>
      <c r="GI108" s="240"/>
      <c r="GJ108" s="240"/>
      <c r="GK108" s="240"/>
      <c r="GL108" s="240"/>
      <c r="GM108" s="238"/>
      <c r="GN108" s="240"/>
      <c r="GO108" s="240"/>
      <c r="GP108" s="240"/>
      <c r="GQ108" s="240"/>
      <c r="GR108" s="240"/>
      <c r="GS108" s="240"/>
      <c r="GT108" s="240"/>
      <c r="GU108" s="240"/>
      <c r="GV108" s="240"/>
      <c r="GW108" s="240"/>
      <c r="GX108" s="240"/>
      <c r="GY108" s="240"/>
      <c r="GZ108" s="240"/>
      <c r="HA108" s="240"/>
      <c r="HB108" s="240"/>
      <c r="HC108" s="240"/>
      <c r="HD108" s="238"/>
      <c r="HE108" s="240"/>
      <c r="HF108" s="240"/>
      <c r="HG108" s="240"/>
      <c r="HH108" s="240"/>
      <c r="HI108" s="240"/>
      <c r="HJ108" s="238"/>
      <c r="HK108" s="240"/>
      <c r="HL108" s="238"/>
      <c r="HM108" s="241"/>
      <c r="HN108" s="235"/>
      <c r="HO108" s="235"/>
      <c r="HP108" s="235"/>
      <c r="HQ108" s="235"/>
    </row>
    <row r="109" spans="2:225" ht="37.5" hidden="1" outlineLevel="3">
      <c r="B109" s="251" t="s">
        <v>1785</v>
      </c>
      <c r="C109" s="252" t="str">
        <f>IF(E107='3. Dropdowns'!C113,"Hide",IF(E66='3. Dropdowns'!C111,"Hide","Show"))</f>
        <v>Show</v>
      </c>
      <c r="D109" s="283" t="s">
        <v>3380</v>
      </c>
      <c r="E109" s="248"/>
      <c r="F109" s="284" t="str">
        <f>IF(E109='3. Dropdowns'!C115,"","Execution")</f>
        <v>Execution</v>
      </c>
      <c r="G109" s="268"/>
      <c r="H109" s="238"/>
      <c r="I109" s="239" t="s">
        <v>890</v>
      </c>
      <c r="J109" s="240"/>
      <c r="K109" s="240"/>
      <c r="L109" s="240"/>
      <c r="M109" s="240"/>
      <c r="N109" s="240"/>
      <c r="O109" s="240"/>
      <c r="P109" s="240"/>
      <c r="Q109" s="240"/>
      <c r="R109" s="240"/>
      <c r="S109" s="240"/>
      <c r="T109" s="240" t="s">
        <v>890</v>
      </c>
      <c r="U109" s="240"/>
      <c r="V109" s="240"/>
      <c r="W109" s="240"/>
      <c r="X109" s="238"/>
      <c r="Y109" s="240"/>
      <c r="Z109" s="240"/>
      <c r="AA109" s="240"/>
      <c r="AB109" s="240"/>
      <c r="AC109" s="240"/>
      <c r="AD109" s="240"/>
      <c r="AE109" s="240"/>
      <c r="AF109" s="240"/>
      <c r="AG109" s="240"/>
      <c r="AH109" s="238"/>
      <c r="AI109" s="240"/>
      <c r="AJ109" s="240"/>
      <c r="AK109" s="240"/>
      <c r="AL109" s="240"/>
      <c r="AM109" s="238"/>
      <c r="AN109" s="240"/>
      <c r="AO109" s="240"/>
      <c r="AP109" s="240"/>
      <c r="AQ109" s="238"/>
      <c r="AR109" s="240"/>
      <c r="AS109" s="240"/>
      <c r="AT109" s="240"/>
      <c r="AU109" s="240"/>
      <c r="AV109" s="240"/>
      <c r="AW109" s="240"/>
      <c r="AX109" s="240"/>
      <c r="AY109" s="240"/>
      <c r="AZ109" s="238"/>
      <c r="BA109" s="240" t="s">
        <v>890</v>
      </c>
      <c r="BB109" s="240"/>
      <c r="BC109" s="240"/>
      <c r="BD109" s="240"/>
      <c r="BE109" s="240"/>
      <c r="BF109" s="240"/>
      <c r="BG109" s="240"/>
      <c r="BH109" s="240"/>
      <c r="BI109" s="240"/>
      <c r="BJ109" s="240"/>
      <c r="BK109" s="240"/>
      <c r="BL109" s="240"/>
      <c r="BM109" s="240"/>
      <c r="BN109" s="240"/>
      <c r="BO109" s="240"/>
      <c r="BP109" s="238"/>
      <c r="BQ109" s="240"/>
      <c r="BR109" s="240"/>
      <c r="BS109" s="240"/>
      <c r="BT109" s="240"/>
      <c r="BU109" s="240"/>
      <c r="BV109" s="240"/>
      <c r="BW109" s="240"/>
      <c r="BX109" s="240"/>
      <c r="BY109" s="240"/>
      <c r="BZ109" s="240"/>
      <c r="CA109" s="240"/>
      <c r="CB109" s="240"/>
      <c r="CC109" s="240"/>
      <c r="CD109" s="240"/>
      <c r="CE109" s="240"/>
      <c r="CF109" s="238"/>
      <c r="CG109" s="240"/>
      <c r="CH109" s="240"/>
      <c r="CI109" s="240"/>
      <c r="CJ109" s="240"/>
      <c r="CK109" s="240"/>
      <c r="CL109" s="240"/>
      <c r="CM109" s="240"/>
      <c r="CN109" s="240"/>
      <c r="CO109" s="240"/>
      <c r="CP109" s="240"/>
      <c r="CQ109" s="240"/>
      <c r="CR109" s="240"/>
      <c r="CS109" s="238"/>
      <c r="CT109" s="240"/>
      <c r="CU109" s="240"/>
      <c r="CV109" s="240"/>
      <c r="CW109" s="240"/>
      <c r="CX109" s="240"/>
      <c r="CY109" s="240"/>
      <c r="CZ109" s="240"/>
      <c r="DA109" s="240"/>
      <c r="DB109" s="240"/>
      <c r="DC109" s="240"/>
      <c r="DD109" s="240"/>
      <c r="DE109" s="240"/>
      <c r="DF109" s="238"/>
      <c r="DG109" s="240"/>
      <c r="DH109" s="240"/>
      <c r="DI109" s="240"/>
      <c r="DJ109" s="240"/>
      <c r="DK109" s="240"/>
      <c r="DL109" s="240"/>
      <c r="DM109" s="240"/>
      <c r="DN109" s="240"/>
      <c r="DO109" s="240"/>
      <c r="DP109" s="240"/>
      <c r="DQ109" s="240"/>
      <c r="DR109" s="238"/>
      <c r="DS109" s="240"/>
      <c r="DT109" s="240"/>
      <c r="DU109" s="240"/>
      <c r="DV109" s="238"/>
      <c r="DW109" s="240"/>
      <c r="DX109" s="240"/>
      <c r="DY109" s="240"/>
      <c r="DZ109" s="240"/>
      <c r="EA109" s="240"/>
      <c r="EB109" s="240"/>
      <c r="EC109" s="240"/>
      <c r="ED109" s="240"/>
      <c r="EE109" s="240"/>
      <c r="EF109" s="238"/>
      <c r="EG109" s="240"/>
      <c r="EH109" s="240"/>
      <c r="EI109" s="240"/>
      <c r="EJ109" s="238"/>
      <c r="EK109" s="240"/>
      <c r="EL109" s="238"/>
      <c r="EM109" s="240"/>
      <c r="EN109" s="240"/>
      <c r="EO109" s="240"/>
      <c r="EP109" s="240"/>
      <c r="EQ109" s="240"/>
      <c r="ER109" s="240"/>
      <c r="ES109" s="240"/>
      <c r="ET109" s="240"/>
      <c r="EU109" s="240"/>
      <c r="EV109" s="240"/>
      <c r="EW109" s="240"/>
      <c r="EX109" s="238"/>
      <c r="EY109" s="240"/>
      <c r="EZ109" s="240"/>
      <c r="FA109" s="240"/>
      <c r="FB109" s="240"/>
      <c r="FC109" s="240"/>
      <c r="FD109" s="240"/>
      <c r="FE109" s="240"/>
      <c r="FF109" s="240"/>
      <c r="FG109" s="240"/>
      <c r="FH109" s="240"/>
      <c r="FI109" s="240"/>
      <c r="FJ109" s="240"/>
      <c r="FK109" s="240"/>
      <c r="FL109" s="240"/>
      <c r="FM109" s="240"/>
      <c r="FN109" s="240"/>
      <c r="FO109" s="238"/>
      <c r="FP109" s="240"/>
      <c r="FQ109" s="240"/>
      <c r="FR109" s="240"/>
      <c r="FS109" s="240"/>
      <c r="FT109" s="240"/>
      <c r="FU109" s="240"/>
      <c r="FV109" s="240"/>
      <c r="FW109" s="240"/>
      <c r="FX109" s="240"/>
      <c r="FY109" s="240"/>
      <c r="FZ109" s="238"/>
      <c r="GA109" s="240"/>
      <c r="GB109" s="240"/>
      <c r="GC109" s="238"/>
      <c r="GD109" s="240"/>
      <c r="GE109" s="240"/>
      <c r="GF109" s="240"/>
      <c r="GG109" s="240"/>
      <c r="GH109" s="238"/>
      <c r="GI109" s="240"/>
      <c r="GJ109" s="240"/>
      <c r="GK109" s="240"/>
      <c r="GL109" s="240"/>
      <c r="GM109" s="238"/>
      <c r="GN109" s="240"/>
      <c r="GO109" s="240"/>
      <c r="GP109" s="240"/>
      <c r="GQ109" s="240"/>
      <c r="GR109" s="240"/>
      <c r="GS109" s="240"/>
      <c r="GT109" s="240"/>
      <c r="GU109" s="240"/>
      <c r="GV109" s="240"/>
      <c r="GW109" s="240"/>
      <c r="GX109" s="240"/>
      <c r="GY109" s="240"/>
      <c r="GZ109" s="240"/>
      <c r="HA109" s="240"/>
      <c r="HB109" s="240"/>
      <c r="HC109" s="240"/>
      <c r="HD109" s="238"/>
      <c r="HE109" s="240"/>
      <c r="HF109" s="240"/>
      <c r="HG109" s="240"/>
      <c r="HH109" s="240"/>
      <c r="HI109" s="240"/>
      <c r="HJ109" s="238"/>
      <c r="HK109" s="240"/>
      <c r="HL109" s="238"/>
      <c r="HM109" s="241"/>
      <c r="HN109" s="235"/>
      <c r="HO109" s="235"/>
      <c r="HP109" s="235"/>
      <c r="HQ109" s="235"/>
    </row>
    <row r="110" spans="2:225" ht="37.5" hidden="1" outlineLevel="3">
      <c r="B110" s="251" t="s">
        <v>1785</v>
      </c>
      <c r="C110" s="252" t="str">
        <f>IF(E107='3. Dropdowns'!C113,"Hide",IF(E66='3. Dropdowns'!C111,"Hide","Show"))</f>
        <v>Show</v>
      </c>
      <c r="D110" s="283" t="s">
        <v>3381</v>
      </c>
      <c r="E110" s="248"/>
      <c r="F110" s="284" t="str">
        <f>IF(E110='3. Dropdowns'!C115,"","Execution")</f>
        <v>Execution</v>
      </c>
      <c r="G110" s="268"/>
      <c r="H110" s="238"/>
      <c r="I110" s="239" t="s">
        <v>890</v>
      </c>
      <c r="J110" s="240"/>
      <c r="K110" s="240"/>
      <c r="L110" s="240"/>
      <c r="M110" s="240"/>
      <c r="N110" s="240"/>
      <c r="O110" s="240"/>
      <c r="P110" s="240"/>
      <c r="Q110" s="240"/>
      <c r="R110" s="240"/>
      <c r="S110" s="240"/>
      <c r="T110" s="240" t="s">
        <v>890</v>
      </c>
      <c r="U110" s="240"/>
      <c r="V110" s="240"/>
      <c r="W110" s="240"/>
      <c r="X110" s="238"/>
      <c r="Y110" s="240"/>
      <c r="Z110" s="240"/>
      <c r="AA110" s="240"/>
      <c r="AB110" s="240"/>
      <c r="AC110" s="240"/>
      <c r="AD110" s="240"/>
      <c r="AE110" s="240"/>
      <c r="AF110" s="240"/>
      <c r="AG110" s="240"/>
      <c r="AH110" s="238"/>
      <c r="AI110" s="240"/>
      <c r="AJ110" s="240"/>
      <c r="AK110" s="240"/>
      <c r="AL110" s="240"/>
      <c r="AM110" s="238"/>
      <c r="AN110" s="240"/>
      <c r="AO110" s="240"/>
      <c r="AP110" s="240"/>
      <c r="AQ110" s="238"/>
      <c r="AR110" s="240"/>
      <c r="AS110" s="240"/>
      <c r="AT110" s="240"/>
      <c r="AU110" s="240"/>
      <c r="AV110" s="240"/>
      <c r="AW110" s="240"/>
      <c r="AX110" s="240"/>
      <c r="AY110" s="240"/>
      <c r="AZ110" s="238"/>
      <c r="BA110" s="240" t="s">
        <v>890</v>
      </c>
      <c r="BB110" s="240"/>
      <c r="BC110" s="240"/>
      <c r="BD110" s="240"/>
      <c r="BE110" s="240"/>
      <c r="BF110" s="240"/>
      <c r="BG110" s="240"/>
      <c r="BH110" s="240"/>
      <c r="BI110" s="240"/>
      <c r="BJ110" s="240"/>
      <c r="BK110" s="240"/>
      <c r="BL110" s="240"/>
      <c r="BM110" s="240"/>
      <c r="BN110" s="240"/>
      <c r="BO110" s="240"/>
      <c r="BP110" s="238"/>
      <c r="BQ110" s="240"/>
      <c r="BR110" s="240"/>
      <c r="BS110" s="240"/>
      <c r="BT110" s="240"/>
      <c r="BU110" s="240"/>
      <c r="BV110" s="240"/>
      <c r="BW110" s="240"/>
      <c r="BX110" s="240"/>
      <c r="BY110" s="240"/>
      <c r="BZ110" s="240"/>
      <c r="CA110" s="240"/>
      <c r="CB110" s="240"/>
      <c r="CC110" s="240"/>
      <c r="CD110" s="240"/>
      <c r="CE110" s="240"/>
      <c r="CF110" s="238"/>
      <c r="CG110" s="240"/>
      <c r="CH110" s="240"/>
      <c r="CI110" s="240"/>
      <c r="CJ110" s="240"/>
      <c r="CK110" s="240"/>
      <c r="CL110" s="240"/>
      <c r="CM110" s="240"/>
      <c r="CN110" s="240"/>
      <c r="CO110" s="240"/>
      <c r="CP110" s="240"/>
      <c r="CQ110" s="240"/>
      <c r="CR110" s="240"/>
      <c r="CS110" s="238"/>
      <c r="CT110" s="240"/>
      <c r="CU110" s="240"/>
      <c r="CV110" s="240"/>
      <c r="CW110" s="240"/>
      <c r="CX110" s="240"/>
      <c r="CY110" s="240"/>
      <c r="CZ110" s="240"/>
      <c r="DA110" s="240"/>
      <c r="DB110" s="240"/>
      <c r="DC110" s="240"/>
      <c r="DD110" s="240"/>
      <c r="DE110" s="240"/>
      <c r="DF110" s="238"/>
      <c r="DG110" s="240"/>
      <c r="DH110" s="240"/>
      <c r="DI110" s="240"/>
      <c r="DJ110" s="240"/>
      <c r="DK110" s="240"/>
      <c r="DL110" s="240"/>
      <c r="DM110" s="240"/>
      <c r="DN110" s="240"/>
      <c r="DO110" s="240"/>
      <c r="DP110" s="240"/>
      <c r="DQ110" s="240"/>
      <c r="DR110" s="238"/>
      <c r="DS110" s="240"/>
      <c r="DT110" s="240"/>
      <c r="DU110" s="240"/>
      <c r="DV110" s="238"/>
      <c r="DW110" s="240"/>
      <c r="DX110" s="240"/>
      <c r="DY110" s="240"/>
      <c r="DZ110" s="240"/>
      <c r="EA110" s="240"/>
      <c r="EB110" s="240"/>
      <c r="EC110" s="240"/>
      <c r="ED110" s="240"/>
      <c r="EE110" s="240"/>
      <c r="EF110" s="238"/>
      <c r="EG110" s="240"/>
      <c r="EH110" s="240"/>
      <c r="EI110" s="240"/>
      <c r="EJ110" s="238"/>
      <c r="EK110" s="240"/>
      <c r="EL110" s="238"/>
      <c r="EM110" s="240"/>
      <c r="EN110" s="240"/>
      <c r="EO110" s="240"/>
      <c r="EP110" s="240"/>
      <c r="EQ110" s="240"/>
      <c r="ER110" s="240"/>
      <c r="ES110" s="240"/>
      <c r="ET110" s="240"/>
      <c r="EU110" s="240"/>
      <c r="EV110" s="240"/>
      <c r="EW110" s="240"/>
      <c r="EX110" s="238"/>
      <c r="EY110" s="240"/>
      <c r="EZ110" s="240"/>
      <c r="FA110" s="240"/>
      <c r="FB110" s="240"/>
      <c r="FC110" s="240"/>
      <c r="FD110" s="240"/>
      <c r="FE110" s="240"/>
      <c r="FF110" s="240"/>
      <c r="FG110" s="240"/>
      <c r="FH110" s="240"/>
      <c r="FI110" s="240"/>
      <c r="FJ110" s="240"/>
      <c r="FK110" s="240"/>
      <c r="FL110" s="240"/>
      <c r="FM110" s="240"/>
      <c r="FN110" s="240"/>
      <c r="FO110" s="238"/>
      <c r="FP110" s="240"/>
      <c r="FQ110" s="240"/>
      <c r="FR110" s="240"/>
      <c r="FS110" s="240"/>
      <c r="FT110" s="240"/>
      <c r="FU110" s="240"/>
      <c r="FV110" s="240"/>
      <c r="FW110" s="240"/>
      <c r="FX110" s="240"/>
      <c r="FY110" s="240"/>
      <c r="FZ110" s="238"/>
      <c r="GA110" s="240"/>
      <c r="GB110" s="240"/>
      <c r="GC110" s="238"/>
      <c r="GD110" s="240"/>
      <c r="GE110" s="240"/>
      <c r="GF110" s="240"/>
      <c r="GG110" s="240"/>
      <c r="GH110" s="238"/>
      <c r="GI110" s="240"/>
      <c r="GJ110" s="240"/>
      <c r="GK110" s="240"/>
      <c r="GL110" s="240"/>
      <c r="GM110" s="238"/>
      <c r="GN110" s="240"/>
      <c r="GO110" s="240"/>
      <c r="GP110" s="240"/>
      <c r="GQ110" s="240"/>
      <c r="GR110" s="240"/>
      <c r="GS110" s="240"/>
      <c r="GT110" s="240"/>
      <c r="GU110" s="240"/>
      <c r="GV110" s="240"/>
      <c r="GW110" s="240"/>
      <c r="GX110" s="240"/>
      <c r="GY110" s="240"/>
      <c r="GZ110" s="240"/>
      <c r="HA110" s="240"/>
      <c r="HB110" s="240"/>
      <c r="HC110" s="240"/>
      <c r="HD110" s="238"/>
      <c r="HE110" s="240"/>
      <c r="HF110" s="240"/>
      <c r="HG110" s="240"/>
      <c r="HH110" s="240"/>
      <c r="HI110" s="240"/>
      <c r="HJ110" s="238"/>
      <c r="HK110" s="240"/>
      <c r="HL110" s="238"/>
      <c r="HM110" s="241"/>
      <c r="HN110" s="235"/>
      <c r="HO110" s="235"/>
      <c r="HP110" s="235"/>
      <c r="HQ110" s="235"/>
    </row>
    <row r="111" spans="2:225" hidden="1" outlineLevel="3">
      <c r="B111" s="251" t="s">
        <v>1785</v>
      </c>
      <c r="C111" s="252" t="str">
        <f>IF(E107='3. Dropdowns'!C113,"Hide",IF(E66='3. Dropdowns'!C111,"Hide","Show"))</f>
        <v>Show</v>
      </c>
      <c r="D111" s="283" t="s">
        <v>3212</v>
      </c>
      <c r="E111" s="248"/>
      <c r="F111" s="284" t="str">
        <f>IF(E111='3. Dropdowns'!C115,"","Execution")</f>
        <v>Execution</v>
      </c>
      <c r="G111" s="268"/>
      <c r="H111" s="238"/>
      <c r="I111" s="239" t="s">
        <v>890</v>
      </c>
      <c r="J111" s="240"/>
      <c r="K111" s="240"/>
      <c r="L111" s="240"/>
      <c r="M111" s="240"/>
      <c r="N111" s="240"/>
      <c r="O111" s="240"/>
      <c r="P111" s="240"/>
      <c r="Q111" s="240"/>
      <c r="R111" s="240"/>
      <c r="S111" s="240"/>
      <c r="T111" s="240" t="s">
        <v>890</v>
      </c>
      <c r="U111" s="240"/>
      <c r="V111" s="240"/>
      <c r="W111" s="240"/>
      <c r="X111" s="238"/>
      <c r="Y111" s="240"/>
      <c r="Z111" s="240"/>
      <c r="AA111" s="240"/>
      <c r="AB111" s="240"/>
      <c r="AC111" s="240"/>
      <c r="AD111" s="240"/>
      <c r="AE111" s="240"/>
      <c r="AF111" s="240"/>
      <c r="AG111" s="240"/>
      <c r="AH111" s="238"/>
      <c r="AI111" s="240"/>
      <c r="AJ111" s="240"/>
      <c r="AK111" s="240"/>
      <c r="AL111" s="240"/>
      <c r="AM111" s="238"/>
      <c r="AN111" s="240" t="s">
        <v>890</v>
      </c>
      <c r="AO111" s="240" t="s">
        <v>890</v>
      </c>
      <c r="AP111" s="240"/>
      <c r="AQ111" s="238"/>
      <c r="AR111" s="240"/>
      <c r="AS111" s="240"/>
      <c r="AT111" s="240"/>
      <c r="AU111" s="240"/>
      <c r="AV111" s="240"/>
      <c r="AW111" s="240"/>
      <c r="AX111" s="240"/>
      <c r="AY111" s="240"/>
      <c r="AZ111" s="238"/>
      <c r="BA111" s="240" t="s">
        <v>890</v>
      </c>
      <c r="BB111" s="240"/>
      <c r="BC111" s="240"/>
      <c r="BD111" s="240"/>
      <c r="BE111" s="240"/>
      <c r="BF111" s="240"/>
      <c r="BG111" s="240"/>
      <c r="BH111" s="240"/>
      <c r="BI111" s="240"/>
      <c r="BJ111" s="240"/>
      <c r="BK111" s="240"/>
      <c r="BL111" s="240"/>
      <c r="BM111" s="240"/>
      <c r="BN111" s="240"/>
      <c r="BO111" s="240"/>
      <c r="BP111" s="238"/>
      <c r="BQ111" s="240"/>
      <c r="BR111" s="240"/>
      <c r="BS111" s="240"/>
      <c r="BT111" s="240"/>
      <c r="BU111" s="240"/>
      <c r="BV111" s="240"/>
      <c r="BW111" s="240"/>
      <c r="BX111" s="240"/>
      <c r="BY111" s="240"/>
      <c r="BZ111" s="240"/>
      <c r="CA111" s="240"/>
      <c r="CB111" s="240"/>
      <c r="CC111" s="240"/>
      <c r="CD111" s="240"/>
      <c r="CE111" s="240"/>
      <c r="CF111" s="238"/>
      <c r="CG111" s="240"/>
      <c r="CH111" s="240"/>
      <c r="CI111" s="240"/>
      <c r="CJ111" s="240"/>
      <c r="CK111" s="240"/>
      <c r="CL111" s="240"/>
      <c r="CM111" s="240"/>
      <c r="CN111" s="240"/>
      <c r="CO111" s="240"/>
      <c r="CP111" s="240"/>
      <c r="CQ111" s="240"/>
      <c r="CR111" s="240"/>
      <c r="CS111" s="238"/>
      <c r="CT111" s="240"/>
      <c r="CU111" s="240"/>
      <c r="CV111" s="240"/>
      <c r="CW111" s="240"/>
      <c r="CX111" s="240"/>
      <c r="CY111" s="240"/>
      <c r="CZ111" s="240"/>
      <c r="DA111" s="240"/>
      <c r="DB111" s="240"/>
      <c r="DC111" s="240"/>
      <c r="DD111" s="240"/>
      <c r="DE111" s="240"/>
      <c r="DF111" s="238"/>
      <c r="DG111" s="240"/>
      <c r="DH111" s="240"/>
      <c r="DI111" s="240"/>
      <c r="DJ111" s="240"/>
      <c r="DK111" s="240"/>
      <c r="DL111" s="240"/>
      <c r="DM111" s="240"/>
      <c r="DN111" s="240"/>
      <c r="DO111" s="240"/>
      <c r="DP111" s="240"/>
      <c r="DQ111" s="240"/>
      <c r="DR111" s="238"/>
      <c r="DS111" s="240"/>
      <c r="DT111" s="240"/>
      <c r="DU111" s="240"/>
      <c r="DV111" s="238"/>
      <c r="DW111" s="240"/>
      <c r="DX111" s="240"/>
      <c r="DY111" s="240"/>
      <c r="DZ111" s="240"/>
      <c r="EA111" s="240"/>
      <c r="EB111" s="240"/>
      <c r="EC111" s="240"/>
      <c r="ED111" s="240"/>
      <c r="EE111" s="240"/>
      <c r="EF111" s="238"/>
      <c r="EG111" s="240"/>
      <c r="EH111" s="240"/>
      <c r="EI111" s="240"/>
      <c r="EJ111" s="238"/>
      <c r="EK111" s="240"/>
      <c r="EL111" s="238"/>
      <c r="EM111" s="240"/>
      <c r="EN111" s="240"/>
      <c r="EO111" s="240"/>
      <c r="EP111" s="240"/>
      <c r="EQ111" s="240"/>
      <c r="ER111" s="240"/>
      <c r="ES111" s="240"/>
      <c r="ET111" s="240"/>
      <c r="EU111" s="240"/>
      <c r="EV111" s="240"/>
      <c r="EW111" s="240"/>
      <c r="EX111" s="238"/>
      <c r="EY111" s="240"/>
      <c r="EZ111" s="240"/>
      <c r="FA111" s="240"/>
      <c r="FB111" s="240"/>
      <c r="FC111" s="240"/>
      <c r="FD111" s="240"/>
      <c r="FE111" s="240"/>
      <c r="FF111" s="240"/>
      <c r="FG111" s="240"/>
      <c r="FH111" s="240"/>
      <c r="FI111" s="240"/>
      <c r="FJ111" s="240"/>
      <c r="FK111" s="240"/>
      <c r="FL111" s="240"/>
      <c r="FM111" s="240"/>
      <c r="FN111" s="240"/>
      <c r="FO111" s="238"/>
      <c r="FP111" s="240"/>
      <c r="FQ111" s="240"/>
      <c r="FR111" s="240"/>
      <c r="FS111" s="240"/>
      <c r="FT111" s="240"/>
      <c r="FU111" s="240"/>
      <c r="FV111" s="240"/>
      <c r="FW111" s="240"/>
      <c r="FX111" s="240"/>
      <c r="FY111" s="240"/>
      <c r="FZ111" s="238"/>
      <c r="GA111" s="240"/>
      <c r="GB111" s="240"/>
      <c r="GC111" s="238"/>
      <c r="GD111" s="240"/>
      <c r="GE111" s="240"/>
      <c r="GF111" s="240"/>
      <c r="GG111" s="240"/>
      <c r="GH111" s="238"/>
      <c r="GI111" s="240"/>
      <c r="GJ111" s="240"/>
      <c r="GK111" s="240"/>
      <c r="GL111" s="240"/>
      <c r="GM111" s="238"/>
      <c r="GN111" s="240"/>
      <c r="GO111" s="240"/>
      <c r="GP111" s="240"/>
      <c r="GQ111" s="240"/>
      <c r="GR111" s="240"/>
      <c r="GS111" s="240"/>
      <c r="GT111" s="240"/>
      <c r="GU111" s="240"/>
      <c r="GV111" s="240"/>
      <c r="GW111" s="240"/>
      <c r="GX111" s="240"/>
      <c r="GY111" s="240"/>
      <c r="GZ111" s="240"/>
      <c r="HA111" s="240"/>
      <c r="HB111" s="240"/>
      <c r="HC111" s="240"/>
      <c r="HD111" s="238"/>
      <c r="HE111" s="240"/>
      <c r="HF111" s="240"/>
      <c r="HG111" s="240"/>
      <c r="HH111" s="240"/>
      <c r="HI111" s="240"/>
      <c r="HJ111" s="238"/>
      <c r="HK111" s="240"/>
      <c r="HL111" s="238"/>
      <c r="HM111" s="241"/>
      <c r="HN111" s="235"/>
      <c r="HO111" s="235"/>
      <c r="HP111" s="235"/>
      <c r="HQ111" s="235"/>
    </row>
    <row r="112" spans="2:225" hidden="1" outlineLevel="3">
      <c r="B112" s="251" t="s">
        <v>1785</v>
      </c>
      <c r="C112" s="252" t="str">
        <f>IF(E107='3. Dropdowns'!C113,"Hide",IF(E66='3. Dropdowns'!C111,"Hide","Show"))</f>
        <v>Show</v>
      </c>
      <c r="D112" s="283" t="s">
        <v>3213</v>
      </c>
      <c r="E112" s="248"/>
      <c r="F112" s="284" t="str">
        <f>IF(E112='3. Dropdowns'!C115,"","Products, Execution")</f>
        <v>Products, Execution</v>
      </c>
      <c r="G112" s="268"/>
      <c r="H112" s="238"/>
      <c r="I112" s="239" t="s">
        <v>890</v>
      </c>
      <c r="J112" s="240"/>
      <c r="K112" s="240"/>
      <c r="L112" s="240"/>
      <c r="M112" s="240"/>
      <c r="N112" s="240"/>
      <c r="O112" s="240"/>
      <c r="P112" s="240"/>
      <c r="Q112" s="240"/>
      <c r="R112" s="240"/>
      <c r="S112" s="240"/>
      <c r="T112" s="240" t="s">
        <v>890</v>
      </c>
      <c r="U112" s="240"/>
      <c r="V112" s="240"/>
      <c r="W112" s="240"/>
      <c r="X112" s="238"/>
      <c r="Y112" s="240"/>
      <c r="Z112" s="240"/>
      <c r="AA112" s="240"/>
      <c r="AB112" s="240"/>
      <c r="AC112" s="240"/>
      <c r="AD112" s="240"/>
      <c r="AE112" s="240"/>
      <c r="AF112" s="240"/>
      <c r="AG112" s="240"/>
      <c r="AH112" s="238"/>
      <c r="AI112" s="240" t="s">
        <v>890</v>
      </c>
      <c r="AJ112" s="240"/>
      <c r="AK112" s="240"/>
      <c r="AL112" s="240"/>
      <c r="AM112" s="238"/>
      <c r="AN112" s="240" t="s">
        <v>890</v>
      </c>
      <c r="AO112" s="240"/>
      <c r="AP112" s="240" t="s">
        <v>890</v>
      </c>
      <c r="AQ112" s="238"/>
      <c r="AR112" s="240"/>
      <c r="AS112" s="240"/>
      <c r="AT112" s="240"/>
      <c r="AU112" s="240"/>
      <c r="AV112" s="240"/>
      <c r="AW112" s="240"/>
      <c r="AX112" s="240"/>
      <c r="AY112" s="240"/>
      <c r="AZ112" s="238"/>
      <c r="BA112" s="240"/>
      <c r="BB112" s="240"/>
      <c r="BC112" s="240"/>
      <c r="BD112" s="240"/>
      <c r="BE112" s="240"/>
      <c r="BF112" s="240"/>
      <c r="BG112" s="240"/>
      <c r="BH112" s="240"/>
      <c r="BI112" s="240"/>
      <c r="BJ112" s="240"/>
      <c r="BK112" s="240"/>
      <c r="BL112" s="240"/>
      <c r="BM112" s="240"/>
      <c r="BN112" s="240"/>
      <c r="BO112" s="240"/>
      <c r="BP112" s="238"/>
      <c r="BQ112" s="240"/>
      <c r="BR112" s="240"/>
      <c r="BS112" s="240"/>
      <c r="BT112" s="240"/>
      <c r="BU112" s="240"/>
      <c r="BV112" s="240"/>
      <c r="BW112" s="240"/>
      <c r="BX112" s="240"/>
      <c r="BY112" s="240"/>
      <c r="BZ112" s="240"/>
      <c r="CA112" s="240"/>
      <c r="CB112" s="240"/>
      <c r="CC112" s="240"/>
      <c r="CD112" s="240"/>
      <c r="CE112" s="240"/>
      <c r="CF112" s="238"/>
      <c r="CG112" s="240"/>
      <c r="CH112" s="240"/>
      <c r="CI112" s="240"/>
      <c r="CJ112" s="240"/>
      <c r="CK112" s="240"/>
      <c r="CL112" s="240"/>
      <c r="CM112" s="240"/>
      <c r="CN112" s="240"/>
      <c r="CO112" s="240"/>
      <c r="CP112" s="240"/>
      <c r="CQ112" s="240"/>
      <c r="CR112" s="240"/>
      <c r="CS112" s="238"/>
      <c r="CT112" s="240"/>
      <c r="CU112" s="240"/>
      <c r="CV112" s="240"/>
      <c r="CW112" s="240"/>
      <c r="CX112" s="240"/>
      <c r="CY112" s="240"/>
      <c r="CZ112" s="240"/>
      <c r="DA112" s="240"/>
      <c r="DB112" s="240"/>
      <c r="DC112" s="240"/>
      <c r="DD112" s="240"/>
      <c r="DE112" s="240"/>
      <c r="DF112" s="238"/>
      <c r="DG112" s="240"/>
      <c r="DH112" s="240"/>
      <c r="DI112" s="240"/>
      <c r="DJ112" s="240"/>
      <c r="DK112" s="240"/>
      <c r="DL112" s="240"/>
      <c r="DM112" s="240"/>
      <c r="DN112" s="240"/>
      <c r="DO112" s="240"/>
      <c r="DP112" s="240"/>
      <c r="DQ112" s="240"/>
      <c r="DR112" s="238"/>
      <c r="DS112" s="240"/>
      <c r="DT112" s="240"/>
      <c r="DU112" s="240"/>
      <c r="DV112" s="238"/>
      <c r="DW112" s="240"/>
      <c r="DX112" s="240"/>
      <c r="DY112" s="240"/>
      <c r="DZ112" s="240"/>
      <c r="EA112" s="240"/>
      <c r="EB112" s="240"/>
      <c r="EC112" s="240"/>
      <c r="ED112" s="240"/>
      <c r="EE112" s="240"/>
      <c r="EF112" s="238"/>
      <c r="EG112" s="240"/>
      <c r="EH112" s="240"/>
      <c r="EI112" s="240"/>
      <c r="EJ112" s="238"/>
      <c r="EK112" s="240"/>
      <c r="EL112" s="238"/>
      <c r="EM112" s="240"/>
      <c r="EN112" s="240"/>
      <c r="EO112" s="240"/>
      <c r="EP112" s="240"/>
      <c r="EQ112" s="240"/>
      <c r="ER112" s="240"/>
      <c r="ES112" s="240"/>
      <c r="ET112" s="240"/>
      <c r="EU112" s="240"/>
      <c r="EV112" s="240"/>
      <c r="EW112" s="240"/>
      <c r="EX112" s="238"/>
      <c r="EY112" s="240"/>
      <c r="EZ112" s="240"/>
      <c r="FA112" s="240"/>
      <c r="FB112" s="240"/>
      <c r="FC112" s="240"/>
      <c r="FD112" s="240"/>
      <c r="FE112" s="240"/>
      <c r="FF112" s="240"/>
      <c r="FG112" s="240"/>
      <c r="FH112" s="240"/>
      <c r="FI112" s="240"/>
      <c r="FJ112" s="240"/>
      <c r="FK112" s="240"/>
      <c r="FL112" s="240"/>
      <c r="FM112" s="240"/>
      <c r="FN112" s="240"/>
      <c r="FO112" s="238"/>
      <c r="FP112" s="240"/>
      <c r="FQ112" s="240"/>
      <c r="FR112" s="240"/>
      <c r="FS112" s="240"/>
      <c r="FT112" s="240"/>
      <c r="FU112" s="240"/>
      <c r="FV112" s="240"/>
      <c r="FW112" s="240"/>
      <c r="FX112" s="240"/>
      <c r="FY112" s="240"/>
      <c r="FZ112" s="238"/>
      <c r="GA112" s="240"/>
      <c r="GB112" s="240"/>
      <c r="GC112" s="238"/>
      <c r="GD112" s="240"/>
      <c r="GE112" s="240"/>
      <c r="GF112" s="240"/>
      <c r="GG112" s="240"/>
      <c r="GH112" s="238"/>
      <c r="GI112" s="240"/>
      <c r="GJ112" s="240"/>
      <c r="GK112" s="240"/>
      <c r="GL112" s="240"/>
      <c r="GM112" s="238"/>
      <c r="GN112" s="240"/>
      <c r="GO112" s="240"/>
      <c r="GP112" s="240"/>
      <c r="GQ112" s="240"/>
      <c r="GR112" s="240"/>
      <c r="GS112" s="240"/>
      <c r="GT112" s="240"/>
      <c r="GU112" s="240"/>
      <c r="GV112" s="240"/>
      <c r="GW112" s="240"/>
      <c r="GX112" s="240"/>
      <c r="GY112" s="240"/>
      <c r="GZ112" s="240"/>
      <c r="HA112" s="240"/>
      <c r="HB112" s="240"/>
      <c r="HC112" s="240"/>
      <c r="HD112" s="238"/>
      <c r="HE112" s="240"/>
      <c r="HF112" s="240"/>
      <c r="HG112" s="240"/>
      <c r="HH112" s="240"/>
      <c r="HI112" s="240"/>
      <c r="HJ112" s="238"/>
      <c r="HK112" s="240"/>
      <c r="HL112" s="238"/>
      <c r="HM112" s="241"/>
      <c r="HN112" s="235"/>
      <c r="HO112" s="235"/>
      <c r="HP112" s="235"/>
      <c r="HQ112" s="235"/>
    </row>
    <row r="113" spans="2:225" hidden="1" outlineLevel="3">
      <c r="B113" s="251" t="s">
        <v>1785</v>
      </c>
      <c r="C113" s="252" t="str">
        <f>IF(E107='3. Dropdowns'!C113,"Hide",IF(E66='3. Dropdowns'!C111,"Hide","Show"))</f>
        <v>Show</v>
      </c>
      <c r="D113" s="283" t="s">
        <v>3214</v>
      </c>
      <c r="E113" s="248"/>
      <c r="F113" s="284" t="str">
        <f>IF(E113='3. Dropdowns'!C115,"","Submittals, Products")</f>
        <v>Submittals, Products</v>
      </c>
      <c r="G113" s="268"/>
      <c r="H113" s="238"/>
      <c r="I113" s="239" t="s">
        <v>890</v>
      </c>
      <c r="J113" s="240"/>
      <c r="K113" s="240"/>
      <c r="L113" s="240"/>
      <c r="M113" s="240"/>
      <c r="N113" s="240"/>
      <c r="O113" s="240"/>
      <c r="P113" s="240"/>
      <c r="Q113" s="240"/>
      <c r="R113" s="240"/>
      <c r="S113" s="240"/>
      <c r="T113" s="240" t="s">
        <v>890</v>
      </c>
      <c r="U113" s="240"/>
      <c r="V113" s="240"/>
      <c r="W113" s="240"/>
      <c r="X113" s="238"/>
      <c r="Y113" s="240"/>
      <c r="Z113" s="240"/>
      <c r="AA113" s="240"/>
      <c r="AB113" s="240"/>
      <c r="AC113" s="240"/>
      <c r="AD113" s="240"/>
      <c r="AE113" s="240"/>
      <c r="AF113" s="240"/>
      <c r="AG113" s="240"/>
      <c r="AH113" s="238"/>
      <c r="AI113" s="240"/>
      <c r="AJ113" s="240"/>
      <c r="AK113" s="240"/>
      <c r="AL113" s="240"/>
      <c r="AM113" s="238"/>
      <c r="AN113" s="240"/>
      <c r="AO113" s="240"/>
      <c r="AP113" s="240"/>
      <c r="AQ113" s="238"/>
      <c r="AR113" s="240"/>
      <c r="AS113" s="240"/>
      <c r="AT113" s="240"/>
      <c r="AU113" s="240"/>
      <c r="AV113" s="240"/>
      <c r="AW113" s="240"/>
      <c r="AX113" s="240"/>
      <c r="AY113" s="240"/>
      <c r="AZ113" s="238"/>
      <c r="BA113" s="240"/>
      <c r="BB113" s="240"/>
      <c r="BC113" s="240"/>
      <c r="BD113" s="240"/>
      <c r="BE113" s="240"/>
      <c r="BF113" s="240"/>
      <c r="BG113" s="240"/>
      <c r="BH113" s="240"/>
      <c r="BI113" s="240"/>
      <c r="BJ113" s="240"/>
      <c r="BK113" s="240"/>
      <c r="BL113" s="240"/>
      <c r="BM113" s="240"/>
      <c r="BN113" s="240"/>
      <c r="BO113" s="240"/>
      <c r="BP113" s="238"/>
      <c r="BQ113" s="240"/>
      <c r="BR113" s="240"/>
      <c r="BS113" s="240"/>
      <c r="BT113" s="240"/>
      <c r="BU113" s="240"/>
      <c r="BV113" s="240"/>
      <c r="BW113" s="240"/>
      <c r="BX113" s="240"/>
      <c r="BY113" s="240"/>
      <c r="BZ113" s="240" t="s">
        <v>890</v>
      </c>
      <c r="CA113" s="240"/>
      <c r="CB113" s="240"/>
      <c r="CC113" s="240"/>
      <c r="CD113" s="240"/>
      <c r="CE113" s="240"/>
      <c r="CF113" s="238"/>
      <c r="CG113" s="240"/>
      <c r="CH113" s="240"/>
      <c r="CI113" s="240"/>
      <c r="CJ113" s="240"/>
      <c r="CK113" s="240"/>
      <c r="CL113" s="240"/>
      <c r="CM113" s="240"/>
      <c r="CN113" s="240"/>
      <c r="CO113" s="240"/>
      <c r="CP113" s="240"/>
      <c r="CQ113" s="240"/>
      <c r="CR113" s="240"/>
      <c r="CS113" s="238"/>
      <c r="CT113" s="240"/>
      <c r="CU113" s="240"/>
      <c r="CV113" s="240"/>
      <c r="CW113" s="240"/>
      <c r="CX113" s="240"/>
      <c r="CY113" s="240"/>
      <c r="CZ113" s="240"/>
      <c r="DA113" s="240"/>
      <c r="DB113" s="240"/>
      <c r="DC113" s="240"/>
      <c r="DD113" s="240"/>
      <c r="DE113" s="240"/>
      <c r="DF113" s="238"/>
      <c r="DG113" s="240"/>
      <c r="DH113" s="240"/>
      <c r="DI113" s="240"/>
      <c r="DJ113" s="240"/>
      <c r="DK113" s="240"/>
      <c r="DL113" s="240"/>
      <c r="DM113" s="240"/>
      <c r="DN113" s="240"/>
      <c r="DO113" s="240"/>
      <c r="DP113" s="240"/>
      <c r="DQ113" s="240"/>
      <c r="DR113" s="238"/>
      <c r="DS113" s="240"/>
      <c r="DT113" s="240"/>
      <c r="DU113" s="240"/>
      <c r="DV113" s="238"/>
      <c r="DW113" s="240"/>
      <c r="DX113" s="240"/>
      <c r="DY113" s="240"/>
      <c r="DZ113" s="240"/>
      <c r="EA113" s="240"/>
      <c r="EB113" s="240"/>
      <c r="EC113" s="240"/>
      <c r="ED113" s="240"/>
      <c r="EE113" s="240"/>
      <c r="EF113" s="238"/>
      <c r="EG113" s="240"/>
      <c r="EH113" s="240"/>
      <c r="EI113" s="240"/>
      <c r="EJ113" s="238"/>
      <c r="EK113" s="240"/>
      <c r="EL113" s="238"/>
      <c r="EM113" s="240"/>
      <c r="EN113" s="240"/>
      <c r="EO113" s="240"/>
      <c r="EP113" s="240"/>
      <c r="EQ113" s="240"/>
      <c r="ER113" s="240"/>
      <c r="ES113" s="240"/>
      <c r="ET113" s="240"/>
      <c r="EU113" s="240"/>
      <c r="EV113" s="240"/>
      <c r="EW113" s="240"/>
      <c r="EX113" s="238"/>
      <c r="EY113" s="240"/>
      <c r="EZ113" s="240"/>
      <c r="FA113" s="240"/>
      <c r="FB113" s="240"/>
      <c r="FC113" s="240"/>
      <c r="FD113" s="240"/>
      <c r="FE113" s="240"/>
      <c r="FF113" s="240"/>
      <c r="FG113" s="240"/>
      <c r="FH113" s="240"/>
      <c r="FI113" s="240"/>
      <c r="FJ113" s="240"/>
      <c r="FK113" s="240"/>
      <c r="FL113" s="240"/>
      <c r="FM113" s="240"/>
      <c r="FN113" s="240"/>
      <c r="FO113" s="238"/>
      <c r="FP113" s="240"/>
      <c r="FQ113" s="240"/>
      <c r="FR113" s="240"/>
      <c r="FS113" s="240"/>
      <c r="FT113" s="240"/>
      <c r="FU113" s="240"/>
      <c r="FV113" s="240"/>
      <c r="FW113" s="240"/>
      <c r="FX113" s="240"/>
      <c r="FY113" s="240"/>
      <c r="FZ113" s="238"/>
      <c r="GA113" s="240"/>
      <c r="GB113" s="240"/>
      <c r="GC113" s="238"/>
      <c r="GD113" s="240"/>
      <c r="GE113" s="240"/>
      <c r="GF113" s="240"/>
      <c r="GG113" s="240"/>
      <c r="GH113" s="238"/>
      <c r="GI113" s="240"/>
      <c r="GJ113" s="240"/>
      <c r="GK113" s="240"/>
      <c r="GL113" s="240"/>
      <c r="GM113" s="238"/>
      <c r="GN113" s="240"/>
      <c r="GO113" s="240"/>
      <c r="GP113" s="240"/>
      <c r="GQ113" s="240"/>
      <c r="GR113" s="240"/>
      <c r="GS113" s="240"/>
      <c r="GT113" s="240"/>
      <c r="GU113" s="240"/>
      <c r="GV113" s="240"/>
      <c r="GW113" s="240"/>
      <c r="GX113" s="240"/>
      <c r="GY113" s="240"/>
      <c r="GZ113" s="240"/>
      <c r="HA113" s="240"/>
      <c r="HB113" s="240"/>
      <c r="HC113" s="240"/>
      <c r="HD113" s="238"/>
      <c r="HE113" s="240"/>
      <c r="HF113" s="240"/>
      <c r="HG113" s="240"/>
      <c r="HH113" s="240"/>
      <c r="HI113" s="240"/>
      <c r="HJ113" s="238"/>
      <c r="HK113" s="240"/>
      <c r="HL113" s="238"/>
      <c r="HM113" s="241"/>
      <c r="HN113" s="235"/>
      <c r="HO113" s="235"/>
      <c r="HP113" s="235"/>
      <c r="HQ113" s="235"/>
    </row>
    <row r="114" spans="2:225" ht="37.5" hidden="1" outlineLevel="3">
      <c r="B114" s="251" t="s">
        <v>1785</v>
      </c>
      <c r="C114" s="252" t="str">
        <f>IF(E107='3. Dropdowns'!C113,"Hide",IF(E66='3. Dropdowns'!C111,"Hide","Show"))</f>
        <v>Show</v>
      </c>
      <c r="D114" s="283" t="s">
        <v>3215</v>
      </c>
      <c r="E114" s="248"/>
      <c r="F114" s="284" t="str">
        <f>IF(E114='3. Dropdowns'!C115,"","Submittals, Products, Execution")</f>
        <v>Submittals, Products, Execution</v>
      </c>
      <c r="G114" s="268"/>
      <c r="H114" s="238"/>
      <c r="I114" s="239" t="s">
        <v>890</v>
      </c>
      <c r="J114" s="240"/>
      <c r="K114" s="240"/>
      <c r="L114" s="240"/>
      <c r="M114" s="240"/>
      <c r="N114" s="240"/>
      <c r="O114" s="240"/>
      <c r="P114" s="240"/>
      <c r="Q114" s="240"/>
      <c r="R114" s="240"/>
      <c r="S114" s="240"/>
      <c r="T114" s="240" t="s">
        <v>890</v>
      </c>
      <c r="U114" s="240"/>
      <c r="V114" s="240"/>
      <c r="W114" s="240"/>
      <c r="X114" s="238"/>
      <c r="Y114" s="240"/>
      <c r="Z114" s="240"/>
      <c r="AA114" s="240"/>
      <c r="AB114" s="240"/>
      <c r="AC114" s="240"/>
      <c r="AD114" s="240"/>
      <c r="AE114" s="240"/>
      <c r="AF114" s="240"/>
      <c r="AG114" s="240"/>
      <c r="AH114" s="238"/>
      <c r="AI114" s="240"/>
      <c r="AJ114" s="240"/>
      <c r="AK114" s="240"/>
      <c r="AL114" s="240"/>
      <c r="AM114" s="238"/>
      <c r="AN114" s="240"/>
      <c r="AO114" s="240"/>
      <c r="AP114" s="240"/>
      <c r="AQ114" s="238"/>
      <c r="AR114" s="240"/>
      <c r="AS114" s="240"/>
      <c r="AT114" s="240"/>
      <c r="AU114" s="240"/>
      <c r="AV114" s="240"/>
      <c r="AW114" s="240"/>
      <c r="AX114" s="240"/>
      <c r="AY114" s="240"/>
      <c r="AZ114" s="238"/>
      <c r="BA114" s="240"/>
      <c r="BB114" s="240"/>
      <c r="BC114" s="240"/>
      <c r="BD114" s="240"/>
      <c r="BE114" s="240"/>
      <c r="BF114" s="240"/>
      <c r="BG114" s="240"/>
      <c r="BH114" s="240"/>
      <c r="BI114" s="240"/>
      <c r="BJ114" s="240"/>
      <c r="BK114" s="240"/>
      <c r="BL114" s="240"/>
      <c r="BM114" s="240"/>
      <c r="BN114" s="240"/>
      <c r="BO114" s="240"/>
      <c r="BP114" s="238"/>
      <c r="BQ114" s="240"/>
      <c r="BR114" s="240"/>
      <c r="BS114" s="240"/>
      <c r="BT114" s="240"/>
      <c r="BU114" s="240"/>
      <c r="BV114" s="240"/>
      <c r="BW114" s="240"/>
      <c r="BX114" s="240"/>
      <c r="BY114" s="240"/>
      <c r="BZ114" s="240" t="s">
        <v>890</v>
      </c>
      <c r="CA114" s="240"/>
      <c r="CB114" s="240"/>
      <c r="CC114" s="240"/>
      <c r="CD114" s="240"/>
      <c r="CE114" s="240"/>
      <c r="CF114" s="238"/>
      <c r="CG114" s="240"/>
      <c r="CH114" s="240"/>
      <c r="CI114" s="240"/>
      <c r="CJ114" s="240"/>
      <c r="CK114" s="240"/>
      <c r="CL114" s="240"/>
      <c r="CM114" s="240"/>
      <c r="CN114" s="240"/>
      <c r="CO114" s="240"/>
      <c r="CP114" s="240"/>
      <c r="CQ114" s="240"/>
      <c r="CR114" s="240"/>
      <c r="CS114" s="238"/>
      <c r="CT114" s="240"/>
      <c r="CU114" s="240"/>
      <c r="CV114" s="240"/>
      <c r="CW114" s="240"/>
      <c r="CX114" s="240"/>
      <c r="CY114" s="240"/>
      <c r="CZ114" s="240"/>
      <c r="DA114" s="240"/>
      <c r="DB114" s="240"/>
      <c r="DC114" s="240"/>
      <c r="DD114" s="240"/>
      <c r="DE114" s="240"/>
      <c r="DF114" s="238"/>
      <c r="DG114" s="240"/>
      <c r="DH114" s="240"/>
      <c r="DI114" s="240"/>
      <c r="DJ114" s="240"/>
      <c r="DK114" s="240"/>
      <c r="DL114" s="240"/>
      <c r="DM114" s="240"/>
      <c r="DN114" s="240"/>
      <c r="DO114" s="240"/>
      <c r="DP114" s="240"/>
      <c r="DQ114" s="240"/>
      <c r="DR114" s="238"/>
      <c r="DS114" s="240"/>
      <c r="DT114" s="240"/>
      <c r="DU114" s="240"/>
      <c r="DV114" s="238"/>
      <c r="DW114" s="240"/>
      <c r="DX114" s="240"/>
      <c r="DY114" s="240"/>
      <c r="DZ114" s="240"/>
      <c r="EA114" s="240"/>
      <c r="EB114" s="240"/>
      <c r="EC114" s="240"/>
      <c r="ED114" s="240"/>
      <c r="EE114" s="240"/>
      <c r="EF114" s="238"/>
      <c r="EG114" s="240"/>
      <c r="EH114" s="240"/>
      <c r="EI114" s="240"/>
      <c r="EJ114" s="238"/>
      <c r="EK114" s="240"/>
      <c r="EL114" s="238"/>
      <c r="EM114" s="240"/>
      <c r="EN114" s="240"/>
      <c r="EO114" s="240"/>
      <c r="EP114" s="240"/>
      <c r="EQ114" s="240"/>
      <c r="ER114" s="240"/>
      <c r="ES114" s="240"/>
      <c r="ET114" s="240"/>
      <c r="EU114" s="240"/>
      <c r="EV114" s="240"/>
      <c r="EW114" s="240"/>
      <c r="EX114" s="238"/>
      <c r="EY114" s="240"/>
      <c r="EZ114" s="240"/>
      <c r="FA114" s="240"/>
      <c r="FB114" s="240"/>
      <c r="FC114" s="240"/>
      <c r="FD114" s="240"/>
      <c r="FE114" s="240"/>
      <c r="FF114" s="240"/>
      <c r="FG114" s="240"/>
      <c r="FH114" s="240"/>
      <c r="FI114" s="240"/>
      <c r="FJ114" s="240"/>
      <c r="FK114" s="240"/>
      <c r="FL114" s="240"/>
      <c r="FM114" s="240"/>
      <c r="FN114" s="240"/>
      <c r="FO114" s="238"/>
      <c r="FP114" s="240"/>
      <c r="FQ114" s="240"/>
      <c r="FR114" s="240"/>
      <c r="FS114" s="240"/>
      <c r="FT114" s="240"/>
      <c r="FU114" s="240"/>
      <c r="FV114" s="240"/>
      <c r="FW114" s="240"/>
      <c r="FX114" s="240"/>
      <c r="FY114" s="240"/>
      <c r="FZ114" s="238"/>
      <c r="GA114" s="240"/>
      <c r="GB114" s="240"/>
      <c r="GC114" s="238"/>
      <c r="GD114" s="240"/>
      <c r="GE114" s="240"/>
      <c r="GF114" s="240"/>
      <c r="GG114" s="240"/>
      <c r="GH114" s="238"/>
      <c r="GI114" s="240"/>
      <c r="GJ114" s="240"/>
      <c r="GK114" s="240"/>
      <c r="GL114" s="240"/>
      <c r="GM114" s="238"/>
      <c r="GN114" s="240"/>
      <c r="GO114" s="240"/>
      <c r="GP114" s="240"/>
      <c r="GQ114" s="240"/>
      <c r="GR114" s="240"/>
      <c r="GS114" s="240"/>
      <c r="GT114" s="240"/>
      <c r="GU114" s="240"/>
      <c r="GV114" s="240"/>
      <c r="GW114" s="240"/>
      <c r="GX114" s="240"/>
      <c r="GY114" s="240"/>
      <c r="GZ114" s="240"/>
      <c r="HA114" s="240"/>
      <c r="HB114" s="240"/>
      <c r="HC114" s="240"/>
      <c r="HD114" s="238"/>
      <c r="HE114" s="240"/>
      <c r="HF114" s="240"/>
      <c r="HG114" s="240"/>
      <c r="HH114" s="240"/>
      <c r="HI114" s="240"/>
      <c r="HJ114" s="238"/>
      <c r="HK114" s="240"/>
      <c r="HL114" s="238"/>
      <c r="HM114" s="241"/>
      <c r="HN114" s="235"/>
      <c r="HO114" s="235"/>
      <c r="HP114" s="235"/>
      <c r="HQ114" s="235"/>
    </row>
    <row r="115" spans="2:225" ht="37.5" hidden="1" outlineLevel="3">
      <c r="B115" s="251" t="s">
        <v>1785</v>
      </c>
      <c r="C115" s="252" t="str">
        <f>IF(E107='3. Dropdowns'!C113,"Hide",IF(E66='3. Dropdowns'!C111,"Hide","Show"))</f>
        <v>Show</v>
      </c>
      <c r="D115" s="283" t="s">
        <v>3216</v>
      </c>
      <c r="E115" s="248"/>
      <c r="F115" s="284" t="str">
        <f>IF(E115='3. Dropdowns'!C115,"","Submittals, Products")</f>
        <v>Submittals, Products</v>
      </c>
      <c r="G115" s="268"/>
      <c r="H115" s="238"/>
      <c r="I115" s="239" t="s">
        <v>890</v>
      </c>
      <c r="J115" s="240"/>
      <c r="K115" s="240"/>
      <c r="L115" s="240"/>
      <c r="M115" s="240"/>
      <c r="N115" s="240"/>
      <c r="O115" s="240"/>
      <c r="P115" s="240"/>
      <c r="Q115" s="240"/>
      <c r="R115" s="240"/>
      <c r="S115" s="240"/>
      <c r="T115" s="240" t="s">
        <v>890</v>
      </c>
      <c r="U115" s="240"/>
      <c r="V115" s="240"/>
      <c r="W115" s="240"/>
      <c r="X115" s="238"/>
      <c r="Y115" s="240"/>
      <c r="Z115" s="240"/>
      <c r="AA115" s="240"/>
      <c r="AB115" s="240"/>
      <c r="AC115" s="240"/>
      <c r="AD115" s="240"/>
      <c r="AE115" s="240"/>
      <c r="AF115" s="240"/>
      <c r="AG115" s="240"/>
      <c r="AH115" s="238"/>
      <c r="AI115" s="240"/>
      <c r="AJ115" s="240"/>
      <c r="AK115" s="240"/>
      <c r="AL115" s="240"/>
      <c r="AM115" s="238"/>
      <c r="AN115" s="240"/>
      <c r="AO115" s="240"/>
      <c r="AP115" s="240"/>
      <c r="AQ115" s="238"/>
      <c r="AR115" s="240"/>
      <c r="AS115" s="240"/>
      <c r="AT115" s="240"/>
      <c r="AU115" s="240"/>
      <c r="AV115" s="240"/>
      <c r="AW115" s="240"/>
      <c r="AX115" s="240"/>
      <c r="AY115" s="240"/>
      <c r="AZ115" s="238"/>
      <c r="BA115" s="240" t="s">
        <v>890</v>
      </c>
      <c r="BB115" s="240"/>
      <c r="BC115" s="240"/>
      <c r="BD115" s="240"/>
      <c r="BE115" s="240"/>
      <c r="BF115" s="240"/>
      <c r="BG115" s="240"/>
      <c r="BH115" s="240"/>
      <c r="BI115" s="240"/>
      <c r="BJ115" s="240"/>
      <c r="BK115" s="240"/>
      <c r="BL115" s="240"/>
      <c r="BM115" s="240"/>
      <c r="BN115" s="240"/>
      <c r="BO115" s="240"/>
      <c r="BP115" s="238"/>
      <c r="BQ115" s="240"/>
      <c r="BR115" s="240"/>
      <c r="BS115" s="240"/>
      <c r="BT115" s="240"/>
      <c r="BU115" s="240"/>
      <c r="BV115" s="240"/>
      <c r="BW115" s="240"/>
      <c r="BX115" s="240"/>
      <c r="BY115" s="240"/>
      <c r="BZ115" s="240" t="s">
        <v>890</v>
      </c>
      <c r="CA115" s="240"/>
      <c r="CB115" s="240"/>
      <c r="CC115" s="240"/>
      <c r="CD115" s="240"/>
      <c r="CE115" s="240"/>
      <c r="CF115" s="238"/>
      <c r="CG115" s="240"/>
      <c r="CH115" s="240"/>
      <c r="CI115" s="240"/>
      <c r="CJ115" s="240"/>
      <c r="CK115" s="240"/>
      <c r="CL115" s="240"/>
      <c r="CM115" s="240"/>
      <c r="CN115" s="240"/>
      <c r="CO115" s="240"/>
      <c r="CP115" s="240"/>
      <c r="CQ115" s="240"/>
      <c r="CR115" s="240"/>
      <c r="CS115" s="238"/>
      <c r="CT115" s="240"/>
      <c r="CU115" s="240"/>
      <c r="CV115" s="240"/>
      <c r="CW115" s="240"/>
      <c r="CX115" s="240"/>
      <c r="CY115" s="240"/>
      <c r="CZ115" s="240"/>
      <c r="DA115" s="240"/>
      <c r="DB115" s="240"/>
      <c r="DC115" s="240"/>
      <c r="DD115" s="240"/>
      <c r="DE115" s="240"/>
      <c r="DF115" s="238"/>
      <c r="DG115" s="240"/>
      <c r="DH115" s="240"/>
      <c r="DI115" s="240"/>
      <c r="DJ115" s="240"/>
      <c r="DK115" s="240"/>
      <c r="DL115" s="240"/>
      <c r="DM115" s="240"/>
      <c r="DN115" s="240"/>
      <c r="DO115" s="240"/>
      <c r="DP115" s="240"/>
      <c r="DQ115" s="240"/>
      <c r="DR115" s="238"/>
      <c r="DS115" s="240"/>
      <c r="DT115" s="240"/>
      <c r="DU115" s="240"/>
      <c r="DV115" s="238"/>
      <c r="DW115" s="240"/>
      <c r="DX115" s="240"/>
      <c r="DY115" s="240"/>
      <c r="DZ115" s="240"/>
      <c r="EA115" s="240"/>
      <c r="EB115" s="240"/>
      <c r="EC115" s="240"/>
      <c r="ED115" s="240"/>
      <c r="EE115" s="240"/>
      <c r="EF115" s="238"/>
      <c r="EG115" s="240"/>
      <c r="EH115" s="240"/>
      <c r="EI115" s="240"/>
      <c r="EJ115" s="238"/>
      <c r="EK115" s="240"/>
      <c r="EL115" s="238"/>
      <c r="EM115" s="240"/>
      <c r="EN115" s="240"/>
      <c r="EO115" s="240"/>
      <c r="EP115" s="240"/>
      <c r="EQ115" s="240"/>
      <c r="ER115" s="240"/>
      <c r="ES115" s="240"/>
      <c r="ET115" s="240"/>
      <c r="EU115" s="240"/>
      <c r="EV115" s="240"/>
      <c r="EW115" s="240"/>
      <c r="EX115" s="238"/>
      <c r="EY115" s="240"/>
      <c r="EZ115" s="240"/>
      <c r="FA115" s="240"/>
      <c r="FB115" s="240"/>
      <c r="FC115" s="240"/>
      <c r="FD115" s="240"/>
      <c r="FE115" s="240"/>
      <c r="FF115" s="240"/>
      <c r="FG115" s="240"/>
      <c r="FH115" s="240"/>
      <c r="FI115" s="240"/>
      <c r="FJ115" s="240"/>
      <c r="FK115" s="240"/>
      <c r="FL115" s="240"/>
      <c r="FM115" s="240"/>
      <c r="FN115" s="240"/>
      <c r="FO115" s="238"/>
      <c r="FP115" s="240"/>
      <c r="FQ115" s="240"/>
      <c r="FR115" s="240"/>
      <c r="FS115" s="240"/>
      <c r="FT115" s="240"/>
      <c r="FU115" s="240"/>
      <c r="FV115" s="240"/>
      <c r="FW115" s="240"/>
      <c r="FX115" s="240"/>
      <c r="FY115" s="240"/>
      <c r="FZ115" s="238"/>
      <c r="GA115" s="240"/>
      <c r="GB115" s="240"/>
      <c r="GC115" s="238"/>
      <c r="GD115" s="240"/>
      <c r="GE115" s="240"/>
      <c r="GF115" s="240"/>
      <c r="GG115" s="240"/>
      <c r="GH115" s="238"/>
      <c r="GI115" s="240"/>
      <c r="GJ115" s="240"/>
      <c r="GK115" s="240"/>
      <c r="GL115" s="240"/>
      <c r="GM115" s="238"/>
      <c r="GN115" s="240"/>
      <c r="GO115" s="240"/>
      <c r="GP115" s="240"/>
      <c r="GQ115" s="240"/>
      <c r="GR115" s="240"/>
      <c r="GS115" s="240"/>
      <c r="GT115" s="240"/>
      <c r="GU115" s="240"/>
      <c r="GV115" s="240"/>
      <c r="GW115" s="240"/>
      <c r="GX115" s="240"/>
      <c r="GY115" s="240"/>
      <c r="GZ115" s="240"/>
      <c r="HA115" s="240"/>
      <c r="HB115" s="240"/>
      <c r="HC115" s="240"/>
      <c r="HD115" s="238"/>
      <c r="HE115" s="240"/>
      <c r="HF115" s="240"/>
      <c r="HG115" s="240"/>
      <c r="HH115" s="240"/>
      <c r="HI115" s="240"/>
      <c r="HJ115" s="238"/>
      <c r="HK115" s="240"/>
      <c r="HL115" s="238"/>
      <c r="HM115" s="241"/>
      <c r="HN115" s="235"/>
      <c r="HO115" s="235"/>
      <c r="HP115" s="235"/>
      <c r="HQ115" s="235"/>
    </row>
    <row r="116" spans="2:225" hidden="1" outlineLevel="2" collapsed="1">
      <c r="B116" s="251" t="s">
        <v>713</v>
      </c>
      <c r="C116" s="252" t="str">
        <f>IF(E66='3. Dropdowns'!C111,"Hide","Show")</f>
        <v>Show</v>
      </c>
      <c r="D116" s="283" t="s">
        <v>3382</v>
      </c>
      <c r="E116" s="248"/>
      <c r="F116" s="284" t="str">
        <f>IF(E116='3. Dropdowns'!C113,"","Submittals, Products, Execution")</f>
        <v>Submittals, Products, Execution</v>
      </c>
      <c r="G116" s="268"/>
      <c r="H116" s="238"/>
      <c r="I116" s="239" t="s">
        <v>890</v>
      </c>
      <c r="J116" s="240"/>
      <c r="K116" s="240"/>
      <c r="L116" s="240"/>
      <c r="M116" s="240"/>
      <c r="N116" s="240"/>
      <c r="O116" s="240"/>
      <c r="P116" s="240"/>
      <c r="Q116" s="240"/>
      <c r="R116" s="240"/>
      <c r="S116" s="240"/>
      <c r="T116" s="240" t="s">
        <v>890</v>
      </c>
      <c r="U116" s="240"/>
      <c r="V116" s="240"/>
      <c r="W116" s="240"/>
      <c r="X116" s="238"/>
      <c r="Y116" s="240"/>
      <c r="Z116" s="240"/>
      <c r="AA116" s="240"/>
      <c r="AB116" s="240"/>
      <c r="AC116" s="240"/>
      <c r="AD116" s="240"/>
      <c r="AE116" s="240"/>
      <c r="AF116" s="240"/>
      <c r="AG116" s="240"/>
      <c r="AH116" s="238"/>
      <c r="AI116" s="240"/>
      <c r="AJ116" s="240"/>
      <c r="AK116" s="240"/>
      <c r="AL116" s="240"/>
      <c r="AM116" s="238"/>
      <c r="AN116" s="240"/>
      <c r="AO116" s="240"/>
      <c r="AP116" s="240"/>
      <c r="AQ116" s="238"/>
      <c r="AR116" s="240"/>
      <c r="AS116" s="240"/>
      <c r="AT116" s="240"/>
      <c r="AU116" s="240"/>
      <c r="AV116" s="240"/>
      <c r="AW116" s="240"/>
      <c r="AX116" s="240"/>
      <c r="AY116" s="240"/>
      <c r="AZ116" s="238"/>
      <c r="BA116" s="240" t="s">
        <v>890</v>
      </c>
      <c r="BB116" s="240"/>
      <c r="BC116" s="240"/>
      <c r="BD116" s="240"/>
      <c r="BE116" s="240"/>
      <c r="BF116" s="240"/>
      <c r="BG116" s="240"/>
      <c r="BH116" s="240"/>
      <c r="BI116" s="240"/>
      <c r="BJ116" s="240"/>
      <c r="BK116" s="240"/>
      <c r="BL116" s="240"/>
      <c r="BM116" s="240"/>
      <c r="BN116" s="240"/>
      <c r="BO116" s="240"/>
      <c r="BP116" s="238"/>
      <c r="BQ116" s="240"/>
      <c r="BR116" s="240"/>
      <c r="BS116" s="240"/>
      <c r="BT116" s="240"/>
      <c r="BU116" s="240"/>
      <c r="BV116" s="240"/>
      <c r="BW116" s="240"/>
      <c r="BX116" s="240"/>
      <c r="BY116" s="240"/>
      <c r="BZ116" s="240"/>
      <c r="CA116" s="240"/>
      <c r="CB116" s="240"/>
      <c r="CC116" s="240" t="s">
        <v>890</v>
      </c>
      <c r="CD116" s="240"/>
      <c r="CE116" s="240"/>
      <c r="CF116" s="238"/>
      <c r="CG116" s="240"/>
      <c r="CH116" s="240"/>
      <c r="CI116" s="240"/>
      <c r="CJ116" s="240"/>
      <c r="CK116" s="240"/>
      <c r="CL116" s="240"/>
      <c r="CM116" s="240"/>
      <c r="CN116" s="240"/>
      <c r="CO116" s="240"/>
      <c r="CP116" s="240"/>
      <c r="CQ116" s="240"/>
      <c r="CR116" s="240"/>
      <c r="CS116" s="238"/>
      <c r="CT116" s="240"/>
      <c r="CU116" s="240"/>
      <c r="CV116" s="240"/>
      <c r="CW116" s="240"/>
      <c r="CX116" s="240"/>
      <c r="CY116" s="240"/>
      <c r="CZ116" s="240"/>
      <c r="DA116" s="240"/>
      <c r="DB116" s="240"/>
      <c r="DC116" s="240"/>
      <c r="DD116" s="240"/>
      <c r="DE116" s="240"/>
      <c r="DF116" s="238"/>
      <c r="DG116" s="240"/>
      <c r="DH116" s="240"/>
      <c r="DI116" s="240"/>
      <c r="DJ116" s="240"/>
      <c r="DK116" s="240"/>
      <c r="DL116" s="240"/>
      <c r="DM116" s="240"/>
      <c r="DN116" s="240"/>
      <c r="DO116" s="240"/>
      <c r="DP116" s="240"/>
      <c r="DQ116" s="240"/>
      <c r="DR116" s="238"/>
      <c r="DS116" s="240"/>
      <c r="DT116" s="240"/>
      <c r="DU116" s="240"/>
      <c r="DV116" s="238"/>
      <c r="DW116" s="240"/>
      <c r="DX116" s="240"/>
      <c r="DY116" s="240"/>
      <c r="DZ116" s="240"/>
      <c r="EA116" s="240"/>
      <c r="EB116" s="240"/>
      <c r="EC116" s="240"/>
      <c r="ED116" s="240"/>
      <c r="EE116" s="240"/>
      <c r="EF116" s="238"/>
      <c r="EG116" s="240"/>
      <c r="EH116" s="240"/>
      <c r="EI116" s="240"/>
      <c r="EJ116" s="238"/>
      <c r="EK116" s="240"/>
      <c r="EL116" s="238"/>
      <c r="EM116" s="240"/>
      <c r="EN116" s="240"/>
      <c r="EO116" s="240"/>
      <c r="EP116" s="240"/>
      <c r="EQ116" s="240"/>
      <c r="ER116" s="240"/>
      <c r="ES116" s="240"/>
      <c r="ET116" s="240"/>
      <c r="EU116" s="240"/>
      <c r="EV116" s="240"/>
      <c r="EW116" s="240"/>
      <c r="EX116" s="238"/>
      <c r="EY116" s="240"/>
      <c r="EZ116" s="240"/>
      <c r="FA116" s="240"/>
      <c r="FB116" s="240"/>
      <c r="FC116" s="240"/>
      <c r="FD116" s="240"/>
      <c r="FE116" s="240"/>
      <c r="FF116" s="240"/>
      <c r="FG116" s="240"/>
      <c r="FH116" s="240"/>
      <c r="FI116" s="240"/>
      <c r="FJ116" s="240"/>
      <c r="FK116" s="240"/>
      <c r="FL116" s="240"/>
      <c r="FM116" s="240"/>
      <c r="FN116" s="240"/>
      <c r="FO116" s="238"/>
      <c r="FP116" s="240"/>
      <c r="FQ116" s="240"/>
      <c r="FR116" s="240"/>
      <c r="FS116" s="240"/>
      <c r="FT116" s="240"/>
      <c r="FU116" s="240"/>
      <c r="FV116" s="240"/>
      <c r="FW116" s="240"/>
      <c r="FX116" s="240"/>
      <c r="FY116" s="240"/>
      <c r="FZ116" s="238"/>
      <c r="GA116" s="240"/>
      <c r="GB116" s="240"/>
      <c r="GC116" s="238"/>
      <c r="GD116" s="240"/>
      <c r="GE116" s="240"/>
      <c r="GF116" s="240"/>
      <c r="GG116" s="240"/>
      <c r="GH116" s="238"/>
      <c r="GI116" s="240"/>
      <c r="GJ116" s="240"/>
      <c r="GK116" s="240"/>
      <c r="GL116" s="240"/>
      <c r="GM116" s="238"/>
      <c r="GN116" s="240"/>
      <c r="GO116" s="240"/>
      <c r="GP116" s="240"/>
      <c r="GQ116" s="240"/>
      <c r="GR116" s="240"/>
      <c r="GS116" s="240"/>
      <c r="GT116" s="240"/>
      <c r="GU116" s="240"/>
      <c r="GV116" s="240"/>
      <c r="GW116" s="240"/>
      <c r="GX116" s="240"/>
      <c r="GY116" s="240"/>
      <c r="GZ116" s="240"/>
      <c r="HA116" s="240"/>
      <c r="HB116" s="240"/>
      <c r="HC116" s="240"/>
      <c r="HD116" s="238"/>
      <c r="HE116" s="240"/>
      <c r="HF116" s="240"/>
      <c r="HG116" s="240"/>
      <c r="HH116" s="240"/>
      <c r="HI116" s="240"/>
      <c r="HJ116" s="238"/>
      <c r="HK116" s="240"/>
      <c r="HL116" s="238"/>
      <c r="HM116" s="241"/>
      <c r="HN116" s="235"/>
      <c r="HO116" s="235"/>
      <c r="HP116" s="235"/>
      <c r="HQ116" s="235"/>
    </row>
    <row r="117" spans="2:225" hidden="1" outlineLevel="3">
      <c r="B117" s="251" t="s">
        <v>1786</v>
      </c>
      <c r="C117" s="252" t="str">
        <f>IF(E116='3. Dropdowns'!C113,"Hide",IF(E66='3. Dropdowns'!C111,"Hide","Show"))</f>
        <v>Show</v>
      </c>
      <c r="D117" s="283" t="s">
        <v>3217</v>
      </c>
      <c r="E117" s="248"/>
      <c r="F117" s="284" t="str">
        <f>IF(E117='3. Dropdowns'!C115,"","Execution")</f>
        <v>Execution</v>
      </c>
      <c r="G117" s="268"/>
      <c r="H117" s="238"/>
      <c r="I117" s="239" t="s">
        <v>890</v>
      </c>
      <c r="J117" s="240"/>
      <c r="K117" s="240"/>
      <c r="L117" s="240"/>
      <c r="M117" s="240"/>
      <c r="N117" s="240"/>
      <c r="O117" s="240"/>
      <c r="P117" s="240"/>
      <c r="Q117" s="240"/>
      <c r="R117" s="240"/>
      <c r="S117" s="240"/>
      <c r="T117" s="240" t="s">
        <v>890</v>
      </c>
      <c r="U117" s="240"/>
      <c r="V117" s="240"/>
      <c r="W117" s="240"/>
      <c r="X117" s="238"/>
      <c r="Y117" s="240"/>
      <c r="Z117" s="240"/>
      <c r="AA117" s="240"/>
      <c r="AB117" s="240"/>
      <c r="AC117" s="240"/>
      <c r="AD117" s="240"/>
      <c r="AE117" s="240"/>
      <c r="AF117" s="240"/>
      <c r="AG117" s="240"/>
      <c r="AH117" s="238"/>
      <c r="AI117" s="240"/>
      <c r="AJ117" s="240"/>
      <c r="AK117" s="240"/>
      <c r="AL117" s="240"/>
      <c r="AM117" s="238"/>
      <c r="AN117" s="240"/>
      <c r="AO117" s="240"/>
      <c r="AP117" s="240"/>
      <c r="AQ117" s="238"/>
      <c r="AR117" s="240"/>
      <c r="AS117" s="240"/>
      <c r="AT117" s="240"/>
      <c r="AU117" s="240"/>
      <c r="AV117" s="240"/>
      <c r="AW117" s="240"/>
      <c r="AX117" s="240"/>
      <c r="AY117" s="240"/>
      <c r="AZ117" s="238"/>
      <c r="BA117" s="240" t="s">
        <v>890</v>
      </c>
      <c r="BB117" s="240"/>
      <c r="BC117" s="240"/>
      <c r="BD117" s="240"/>
      <c r="BE117" s="240"/>
      <c r="BF117" s="240"/>
      <c r="BG117" s="240"/>
      <c r="BH117" s="240"/>
      <c r="BI117" s="240"/>
      <c r="BJ117" s="240"/>
      <c r="BK117" s="240"/>
      <c r="BL117" s="240"/>
      <c r="BM117" s="240"/>
      <c r="BN117" s="240"/>
      <c r="BO117" s="240"/>
      <c r="BP117" s="238"/>
      <c r="BQ117" s="240"/>
      <c r="BR117" s="240"/>
      <c r="BS117" s="240"/>
      <c r="BT117" s="240"/>
      <c r="BU117" s="240"/>
      <c r="BV117" s="240"/>
      <c r="BW117" s="240"/>
      <c r="BX117" s="240"/>
      <c r="BY117" s="240"/>
      <c r="BZ117" s="240"/>
      <c r="CA117" s="240"/>
      <c r="CB117" s="240"/>
      <c r="CC117" s="240" t="s">
        <v>890</v>
      </c>
      <c r="CD117" s="240"/>
      <c r="CE117" s="240"/>
      <c r="CF117" s="238"/>
      <c r="CG117" s="240"/>
      <c r="CH117" s="240"/>
      <c r="CI117" s="240"/>
      <c r="CJ117" s="240"/>
      <c r="CK117" s="240"/>
      <c r="CL117" s="240"/>
      <c r="CM117" s="240"/>
      <c r="CN117" s="240"/>
      <c r="CO117" s="240"/>
      <c r="CP117" s="240"/>
      <c r="CQ117" s="240"/>
      <c r="CR117" s="240"/>
      <c r="CS117" s="238"/>
      <c r="CT117" s="240"/>
      <c r="CU117" s="240"/>
      <c r="CV117" s="240"/>
      <c r="CW117" s="240"/>
      <c r="CX117" s="240"/>
      <c r="CY117" s="240"/>
      <c r="CZ117" s="240"/>
      <c r="DA117" s="240"/>
      <c r="DB117" s="240"/>
      <c r="DC117" s="240"/>
      <c r="DD117" s="240"/>
      <c r="DE117" s="240"/>
      <c r="DF117" s="238"/>
      <c r="DG117" s="240"/>
      <c r="DH117" s="240"/>
      <c r="DI117" s="240"/>
      <c r="DJ117" s="240"/>
      <c r="DK117" s="240"/>
      <c r="DL117" s="240"/>
      <c r="DM117" s="240"/>
      <c r="DN117" s="240"/>
      <c r="DO117" s="240"/>
      <c r="DP117" s="240"/>
      <c r="DQ117" s="240"/>
      <c r="DR117" s="238"/>
      <c r="DS117" s="240"/>
      <c r="DT117" s="240"/>
      <c r="DU117" s="240"/>
      <c r="DV117" s="238"/>
      <c r="DW117" s="240"/>
      <c r="DX117" s="240"/>
      <c r="DY117" s="240"/>
      <c r="DZ117" s="240"/>
      <c r="EA117" s="240"/>
      <c r="EB117" s="240"/>
      <c r="EC117" s="240"/>
      <c r="ED117" s="240"/>
      <c r="EE117" s="240"/>
      <c r="EF117" s="238"/>
      <c r="EG117" s="240"/>
      <c r="EH117" s="240"/>
      <c r="EI117" s="240"/>
      <c r="EJ117" s="238"/>
      <c r="EK117" s="240"/>
      <c r="EL117" s="238"/>
      <c r="EM117" s="240"/>
      <c r="EN117" s="240"/>
      <c r="EO117" s="240"/>
      <c r="EP117" s="240"/>
      <c r="EQ117" s="240"/>
      <c r="ER117" s="240"/>
      <c r="ES117" s="240"/>
      <c r="ET117" s="240"/>
      <c r="EU117" s="240"/>
      <c r="EV117" s="240"/>
      <c r="EW117" s="240"/>
      <c r="EX117" s="238"/>
      <c r="EY117" s="240"/>
      <c r="EZ117" s="240"/>
      <c r="FA117" s="240"/>
      <c r="FB117" s="240"/>
      <c r="FC117" s="240"/>
      <c r="FD117" s="240"/>
      <c r="FE117" s="240"/>
      <c r="FF117" s="240"/>
      <c r="FG117" s="240"/>
      <c r="FH117" s="240"/>
      <c r="FI117" s="240"/>
      <c r="FJ117" s="240"/>
      <c r="FK117" s="240"/>
      <c r="FL117" s="240"/>
      <c r="FM117" s="240"/>
      <c r="FN117" s="240"/>
      <c r="FO117" s="238"/>
      <c r="FP117" s="240"/>
      <c r="FQ117" s="240"/>
      <c r="FR117" s="240"/>
      <c r="FS117" s="240"/>
      <c r="FT117" s="240"/>
      <c r="FU117" s="240"/>
      <c r="FV117" s="240"/>
      <c r="FW117" s="240"/>
      <c r="FX117" s="240"/>
      <c r="FY117" s="240"/>
      <c r="FZ117" s="238"/>
      <c r="GA117" s="240"/>
      <c r="GB117" s="240"/>
      <c r="GC117" s="238"/>
      <c r="GD117" s="240"/>
      <c r="GE117" s="240"/>
      <c r="GF117" s="240"/>
      <c r="GG117" s="240"/>
      <c r="GH117" s="238"/>
      <c r="GI117" s="240"/>
      <c r="GJ117" s="240"/>
      <c r="GK117" s="240"/>
      <c r="GL117" s="240"/>
      <c r="GM117" s="238"/>
      <c r="GN117" s="240"/>
      <c r="GO117" s="240"/>
      <c r="GP117" s="240"/>
      <c r="GQ117" s="240"/>
      <c r="GR117" s="240"/>
      <c r="GS117" s="240"/>
      <c r="GT117" s="240"/>
      <c r="GU117" s="240"/>
      <c r="GV117" s="240"/>
      <c r="GW117" s="240"/>
      <c r="GX117" s="240"/>
      <c r="GY117" s="240"/>
      <c r="GZ117" s="240"/>
      <c r="HA117" s="240"/>
      <c r="HB117" s="240"/>
      <c r="HC117" s="240"/>
      <c r="HD117" s="238"/>
      <c r="HE117" s="240"/>
      <c r="HF117" s="240"/>
      <c r="HG117" s="240"/>
      <c r="HH117" s="240"/>
      <c r="HI117" s="240"/>
      <c r="HJ117" s="238"/>
      <c r="HK117" s="240"/>
      <c r="HL117" s="238"/>
      <c r="HM117" s="241"/>
      <c r="HN117" s="235"/>
      <c r="HO117" s="235"/>
      <c r="HP117" s="235"/>
      <c r="HQ117" s="235"/>
    </row>
    <row r="118" spans="2:225" ht="37.5" hidden="1" outlineLevel="3">
      <c r="B118" s="251" t="s">
        <v>1786</v>
      </c>
      <c r="C118" s="252" t="str">
        <f>IF(E116='3. Dropdowns'!C113,"Hide",IF(E66='3. Dropdowns'!C111,"Hide","Show"))</f>
        <v>Show</v>
      </c>
      <c r="D118" s="283" t="s">
        <v>3218</v>
      </c>
      <c r="E118" s="248"/>
      <c r="F118" s="284" t="str">
        <f>IF(E118='3. Dropdowns'!C115,"","Execution")</f>
        <v>Execution</v>
      </c>
      <c r="G118" s="268"/>
      <c r="H118" s="238"/>
      <c r="I118" s="239" t="s">
        <v>890</v>
      </c>
      <c r="J118" s="240"/>
      <c r="K118" s="240"/>
      <c r="L118" s="240"/>
      <c r="M118" s="240"/>
      <c r="N118" s="240"/>
      <c r="O118" s="240"/>
      <c r="P118" s="240"/>
      <c r="Q118" s="240"/>
      <c r="R118" s="240"/>
      <c r="S118" s="240"/>
      <c r="T118" s="240" t="s">
        <v>890</v>
      </c>
      <c r="U118" s="240"/>
      <c r="V118" s="240"/>
      <c r="W118" s="240"/>
      <c r="X118" s="238"/>
      <c r="Y118" s="240"/>
      <c r="Z118" s="240"/>
      <c r="AA118" s="240"/>
      <c r="AB118" s="240"/>
      <c r="AC118" s="240"/>
      <c r="AD118" s="240"/>
      <c r="AE118" s="240"/>
      <c r="AF118" s="240"/>
      <c r="AG118" s="240"/>
      <c r="AH118" s="238"/>
      <c r="AI118" s="240"/>
      <c r="AJ118" s="240"/>
      <c r="AK118" s="240"/>
      <c r="AL118" s="240"/>
      <c r="AM118" s="238"/>
      <c r="AN118" s="240"/>
      <c r="AO118" s="240"/>
      <c r="AP118" s="240"/>
      <c r="AQ118" s="238"/>
      <c r="AR118" s="240"/>
      <c r="AS118" s="240"/>
      <c r="AT118" s="240"/>
      <c r="AU118" s="240"/>
      <c r="AV118" s="240"/>
      <c r="AW118" s="240"/>
      <c r="AX118" s="240"/>
      <c r="AY118" s="240"/>
      <c r="AZ118" s="238"/>
      <c r="BA118" s="240"/>
      <c r="BB118" s="240"/>
      <c r="BC118" s="240"/>
      <c r="BD118" s="240"/>
      <c r="BE118" s="240"/>
      <c r="BF118" s="240"/>
      <c r="BG118" s="240"/>
      <c r="BH118" s="240"/>
      <c r="BI118" s="240"/>
      <c r="BJ118" s="240"/>
      <c r="BK118" s="240"/>
      <c r="BL118" s="240"/>
      <c r="BM118" s="240"/>
      <c r="BN118" s="240"/>
      <c r="BO118" s="240"/>
      <c r="BP118" s="238"/>
      <c r="BQ118" s="240"/>
      <c r="BR118" s="240"/>
      <c r="BS118" s="240"/>
      <c r="BT118" s="240"/>
      <c r="BU118" s="240"/>
      <c r="BV118" s="240"/>
      <c r="BW118" s="240"/>
      <c r="BX118" s="240"/>
      <c r="BY118" s="240"/>
      <c r="BZ118" s="240"/>
      <c r="CA118" s="240"/>
      <c r="CB118" s="240"/>
      <c r="CC118" s="240" t="s">
        <v>890</v>
      </c>
      <c r="CD118" s="240"/>
      <c r="CE118" s="240"/>
      <c r="CF118" s="238"/>
      <c r="CG118" s="240"/>
      <c r="CH118" s="240"/>
      <c r="CI118" s="240"/>
      <c r="CJ118" s="240"/>
      <c r="CK118" s="240"/>
      <c r="CL118" s="240"/>
      <c r="CM118" s="240"/>
      <c r="CN118" s="240"/>
      <c r="CO118" s="240"/>
      <c r="CP118" s="240"/>
      <c r="CQ118" s="240"/>
      <c r="CR118" s="240"/>
      <c r="CS118" s="238"/>
      <c r="CT118" s="240"/>
      <c r="CU118" s="240"/>
      <c r="CV118" s="240"/>
      <c r="CW118" s="240"/>
      <c r="CX118" s="240"/>
      <c r="CY118" s="240"/>
      <c r="CZ118" s="240"/>
      <c r="DA118" s="240"/>
      <c r="DB118" s="240"/>
      <c r="DC118" s="240"/>
      <c r="DD118" s="240"/>
      <c r="DE118" s="240"/>
      <c r="DF118" s="238"/>
      <c r="DG118" s="240"/>
      <c r="DH118" s="240"/>
      <c r="DI118" s="240"/>
      <c r="DJ118" s="240"/>
      <c r="DK118" s="240"/>
      <c r="DL118" s="240"/>
      <c r="DM118" s="240"/>
      <c r="DN118" s="240"/>
      <c r="DO118" s="240"/>
      <c r="DP118" s="240"/>
      <c r="DQ118" s="240"/>
      <c r="DR118" s="238"/>
      <c r="DS118" s="240"/>
      <c r="DT118" s="240"/>
      <c r="DU118" s="240"/>
      <c r="DV118" s="238"/>
      <c r="DW118" s="240"/>
      <c r="DX118" s="240"/>
      <c r="DY118" s="240"/>
      <c r="DZ118" s="240"/>
      <c r="EA118" s="240"/>
      <c r="EB118" s="240"/>
      <c r="EC118" s="240"/>
      <c r="ED118" s="240"/>
      <c r="EE118" s="240"/>
      <c r="EF118" s="238"/>
      <c r="EG118" s="240"/>
      <c r="EH118" s="240"/>
      <c r="EI118" s="240"/>
      <c r="EJ118" s="238"/>
      <c r="EK118" s="240"/>
      <c r="EL118" s="238"/>
      <c r="EM118" s="240"/>
      <c r="EN118" s="240"/>
      <c r="EO118" s="240"/>
      <c r="EP118" s="240"/>
      <c r="EQ118" s="240"/>
      <c r="ER118" s="240"/>
      <c r="ES118" s="240"/>
      <c r="ET118" s="240"/>
      <c r="EU118" s="240"/>
      <c r="EV118" s="240"/>
      <c r="EW118" s="240"/>
      <c r="EX118" s="238"/>
      <c r="EY118" s="240"/>
      <c r="EZ118" s="240"/>
      <c r="FA118" s="240"/>
      <c r="FB118" s="240"/>
      <c r="FC118" s="240"/>
      <c r="FD118" s="240"/>
      <c r="FE118" s="240"/>
      <c r="FF118" s="240"/>
      <c r="FG118" s="240"/>
      <c r="FH118" s="240"/>
      <c r="FI118" s="240"/>
      <c r="FJ118" s="240"/>
      <c r="FK118" s="240"/>
      <c r="FL118" s="240"/>
      <c r="FM118" s="240"/>
      <c r="FN118" s="240"/>
      <c r="FO118" s="238"/>
      <c r="FP118" s="240"/>
      <c r="FQ118" s="240"/>
      <c r="FR118" s="240"/>
      <c r="FS118" s="240"/>
      <c r="FT118" s="240"/>
      <c r="FU118" s="240"/>
      <c r="FV118" s="240"/>
      <c r="FW118" s="240"/>
      <c r="FX118" s="240"/>
      <c r="FY118" s="240"/>
      <c r="FZ118" s="238"/>
      <c r="GA118" s="240"/>
      <c r="GB118" s="240"/>
      <c r="GC118" s="238"/>
      <c r="GD118" s="240"/>
      <c r="GE118" s="240"/>
      <c r="GF118" s="240"/>
      <c r="GG118" s="240"/>
      <c r="GH118" s="238"/>
      <c r="GI118" s="240"/>
      <c r="GJ118" s="240"/>
      <c r="GK118" s="240"/>
      <c r="GL118" s="240"/>
      <c r="GM118" s="238"/>
      <c r="GN118" s="240"/>
      <c r="GO118" s="240"/>
      <c r="GP118" s="240"/>
      <c r="GQ118" s="240"/>
      <c r="GR118" s="240"/>
      <c r="GS118" s="240"/>
      <c r="GT118" s="240"/>
      <c r="GU118" s="240"/>
      <c r="GV118" s="240"/>
      <c r="GW118" s="240"/>
      <c r="GX118" s="240"/>
      <c r="GY118" s="240"/>
      <c r="GZ118" s="240"/>
      <c r="HA118" s="240"/>
      <c r="HB118" s="240"/>
      <c r="HC118" s="240"/>
      <c r="HD118" s="238"/>
      <c r="HE118" s="240"/>
      <c r="HF118" s="240"/>
      <c r="HG118" s="240"/>
      <c r="HH118" s="240"/>
      <c r="HI118" s="240"/>
      <c r="HJ118" s="238"/>
      <c r="HK118" s="240"/>
      <c r="HL118" s="238"/>
      <c r="HM118" s="241"/>
      <c r="HN118" s="235"/>
      <c r="HO118" s="235"/>
      <c r="HP118" s="235"/>
      <c r="HQ118" s="235"/>
    </row>
    <row r="119" spans="2:225" ht="37.5" hidden="1" outlineLevel="3">
      <c r="B119" s="251" t="s">
        <v>1786</v>
      </c>
      <c r="C119" s="252" t="str">
        <f>IF(E116='3. Dropdowns'!C113,"Hide",IF(E66='3. Dropdowns'!C111,"Hide","Show"))</f>
        <v>Show</v>
      </c>
      <c r="D119" s="283" t="s">
        <v>3383</v>
      </c>
      <c r="E119" s="248"/>
      <c r="F119" s="284" t="str">
        <f>IF(E119='3. Dropdowns'!C115,"","Submittals, Products, Execution")</f>
        <v>Submittals, Products, Execution</v>
      </c>
      <c r="G119" s="268"/>
      <c r="H119" s="238"/>
      <c r="I119" s="239" t="s">
        <v>890</v>
      </c>
      <c r="J119" s="240"/>
      <c r="K119" s="240"/>
      <c r="L119" s="240"/>
      <c r="M119" s="240"/>
      <c r="N119" s="240"/>
      <c r="O119" s="240"/>
      <c r="P119" s="240"/>
      <c r="Q119" s="240"/>
      <c r="R119" s="240"/>
      <c r="S119" s="240"/>
      <c r="T119" s="240" t="s">
        <v>890</v>
      </c>
      <c r="U119" s="240"/>
      <c r="V119" s="240"/>
      <c r="W119" s="240"/>
      <c r="X119" s="238"/>
      <c r="Y119" s="240"/>
      <c r="Z119" s="240"/>
      <c r="AA119" s="240"/>
      <c r="AB119" s="240"/>
      <c r="AC119" s="240"/>
      <c r="AD119" s="240"/>
      <c r="AE119" s="240"/>
      <c r="AF119" s="240"/>
      <c r="AG119" s="240"/>
      <c r="AH119" s="238"/>
      <c r="AI119" s="240"/>
      <c r="AJ119" s="240"/>
      <c r="AK119" s="240"/>
      <c r="AL119" s="240"/>
      <c r="AM119" s="238"/>
      <c r="AN119" s="240"/>
      <c r="AO119" s="240"/>
      <c r="AP119" s="240"/>
      <c r="AQ119" s="238"/>
      <c r="AR119" s="240"/>
      <c r="AS119" s="240"/>
      <c r="AT119" s="240"/>
      <c r="AU119" s="240"/>
      <c r="AV119" s="240"/>
      <c r="AW119" s="240"/>
      <c r="AX119" s="240"/>
      <c r="AY119" s="240"/>
      <c r="AZ119" s="238"/>
      <c r="BA119" s="240" t="s">
        <v>890</v>
      </c>
      <c r="BB119" s="240"/>
      <c r="BC119" s="240"/>
      <c r="BD119" s="240"/>
      <c r="BE119" s="240"/>
      <c r="BF119" s="240"/>
      <c r="BG119" s="240"/>
      <c r="BH119" s="240"/>
      <c r="BI119" s="240"/>
      <c r="BJ119" s="240"/>
      <c r="BK119" s="240"/>
      <c r="BL119" s="240"/>
      <c r="BM119" s="240"/>
      <c r="BN119" s="240"/>
      <c r="BO119" s="240"/>
      <c r="BP119" s="238"/>
      <c r="BQ119" s="240"/>
      <c r="BR119" s="240"/>
      <c r="BS119" s="240"/>
      <c r="BT119" s="240"/>
      <c r="BU119" s="240"/>
      <c r="BV119" s="240"/>
      <c r="BW119" s="240"/>
      <c r="BX119" s="240"/>
      <c r="BY119" s="240"/>
      <c r="BZ119" s="240"/>
      <c r="CA119" s="240"/>
      <c r="CB119" s="240"/>
      <c r="CC119" s="240" t="s">
        <v>890</v>
      </c>
      <c r="CD119" s="240"/>
      <c r="CE119" s="240"/>
      <c r="CF119" s="238"/>
      <c r="CG119" s="240"/>
      <c r="CH119" s="240"/>
      <c r="CI119" s="240"/>
      <c r="CJ119" s="240"/>
      <c r="CK119" s="240"/>
      <c r="CL119" s="240"/>
      <c r="CM119" s="240"/>
      <c r="CN119" s="240"/>
      <c r="CO119" s="240"/>
      <c r="CP119" s="240"/>
      <c r="CQ119" s="240"/>
      <c r="CR119" s="240"/>
      <c r="CS119" s="238"/>
      <c r="CT119" s="240"/>
      <c r="CU119" s="240"/>
      <c r="CV119" s="240"/>
      <c r="CW119" s="240"/>
      <c r="CX119" s="240"/>
      <c r="CY119" s="240"/>
      <c r="CZ119" s="240"/>
      <c r="DA119" s="240"/>
      <c r="DB119" s="240"/>
      <c r="DC119" s="240"/>
      <c r="DD119" s="240"/>
      <c r="DE119" s="240"/>
      <c r="DF119" s="238"/>
      <c r="DG119" s="240"/>
      <c r="DH119" s="240"/>
      <c r="DI119" s="240"/>
      <c r="DJ119" s="240"/>
      <c r="DK119" s="240"/>
      <c r="DL119" s="240"/>
      <c r="DM119" s="240"/>
      <c r="DN119" s="240"/>
      <c r="DO119" s="240"/>
      <c r="DP119" s="240"/>
      <c r="DQ119" s="240"/>
      <c r="DR119" s="238"/>
      <c r="DS119" s="240"/>
      <c r="DT119" s="240"/>
      <c r="DU119" s="240"/>
      <c r="DV119" s="238"/>
      <c r="DW119" s="240"/>
      <c r="DX119" s="240"/>
      <c r="DY119" s="240"/>
      <c r="DZ119" s="240"/>
      <c r="EA119" s="240"/>
      <c r="EB119" s="240"/>
      <c r="EC119" s="240"/>
      <c r="ED119" s="240"/>
      <c r="EE119" s="240"/>
      <c r="EF119" s="238"/>
      <c r="EG119" s="240"/>
      <c r="EH119" s="240"/>
      <c r="EI119" s="240"/>
      <c r="EJ119" s="238"/>
      <c r="EK119" s="240"/>
      <c r="EL119" s="238"/>
      <c r="EM119" s="240"/>
      <c r="EN119" s="240"/>
      <c r="EO119" s="240"/>
      <c r="EP119" s="240"/>
      <c r="EQ119" s="240"/>
      <c r="ER119" s="240"/>
      <c r="ES119" s="240"/>
      <c r="ET119" s="240"/>
      <c r="EU119" s="240"/>
      <c r="EV119" s="240"/>
      <c r="EW119" s="240"/>
      <c r="EX119" s="238"/>
      <c r="EY119" s="240"/>
      <c r="EZ119" s="240"/>
      <c r="FA119" s="240"/>
      <c r="FB119" s="240"/>
      <c r="FC119" s="240"/>
      <c r="FD119" s="240"/>
      <c r="FE119" s="240"/>
      <c r="FF119" s="240"/>
      <c r="FG119" s="240"/>
      <c r="FH119" s="240"/>
      <c r="FI119" s="240"/>
      <c r="FJ119" s="240"/>
      <c r="FK119" s="240"/>
      <c r="FL119" s="240"/>
      <c r="FM119" s="240"/>
      <c r="FN119" s="240"/>
      <c r="FO119" s="238"/>
      <c r="FP119" s="240"/>
      <c r="FQ119" s="240"/>
      <c r="FR119" s="240"/>
      <c r="FS119" s="240"/>
      <c r="FT119" s="240"/>
      <c r="FU119" s="240"/>
      <c r="FV119" s="240"/>
      <c r="FW119" s="240"/>
      <c r="FX119" s="240"/>
      <c r="FY119" s="240"/>
      <c r="FZ119" s="238"/>
      <c r="GA119" s="240"/>
      <c r="GB119" s="240"/>
      <c r="GC119" s="238"/>
      <c r="GD119" s="240"/>
      <c r="GE119" s="240"/>
      <c r="GF119" s="240"/>
      <c r="GG119" s="240"/>
      <c r="GH119" s="238"/>
      <c r="GI119" s="240"/>
      <c r="GJ119" s="240"/>
      <c r="GK119" s="240"/>
      <c r="GL119" s="240"/>
      <c r="GM119" s="238"/>
      <c r="GN119" s="240"/>
      <c r="GO119" s="240"/>
      <c r="GP119" s="240"/>
      <c r="GQ119" s="240"/>
      <c r="GR119" s="240"/>
      <c r="GS119" s="240"/>
      <c r="GT119" s="240"/>
      <c r="GU119" s="240"/>
      <c r="GV119" s="240"/>
      <c r="GW119" s="240"/>
      <c r="GX119" s="240"/>
      <c r="GY119" s="240"/>
      <c r="GZ119" s="240"/>
      <c r="HA119" s="240"/>
      <c r="HB119" s="240"/>
      <c r="HC119" s="240"/>
      <c r="HD119" s="238"/>
      <c r="HE119" s="240"/>
      <c r="HF119" s="240"/>
      <c r="HG119" s="240"/>
      <c r="HH119" s="240"/>
      <c r="HI119" s="240"/>
      <c r="HJ119" s="238"/>
      <c r="HK119" s="240"/>
      <c r="HL119" s="238"/>
      <c r="HM119" s="241"/>
      <c r="HN119" s="235"/>
      <c r="HO119" s="235"/>
      <c r="HP119" s="235"/>
      <c r="HQ119" s="235"/>
    </row>
    <row r="120" spans="2:225" ht="37.5" hidden="1" outlineLevel="3">
      <c r="B120" s="251" t="s">
        <v>1786</v>
      </c>
      <c r="C120" s="252" t="str">
        <f>IF(E116='3. Dropdowns'!C113,"Hide",IF(E66='3. Dropdowns'!C111,"Hide","Show"))</f>
        <v>Show</v>
      </c>
      <c r="D120" s="283" t="s">
        <v>3219</v>
      </c>
      <c r="E120" s="248"/>
      <c r="F120" s="284" t="str">
        <f>IF(E120='3. Dropdowns'!C115,"","Execution")</f>
        <v>Execution</v>
      </c>
      <c r="G120" s="268"/>
      <c r="H120" s="238"/>
      <c r="I120" s="239" t="s">
        <v>890</v>
      </c>
      <c r="J120" s="240"/>
      <c r="K120" s="240"/>
      <c r="L120" s="240"/>
      <c r="M120" s="240"/>
      <c r="N120" s="240"/>
      <c r="O120" s="240"/>
      <c r="P120" s="240"/>
      <c r="Q120" s="240"/>
      <c r="R120" s="240"/>
      <c r="S120" s="240"/>
      <c r="T120" s="240" t="s">
        <v>890</v>
      </c>
      <c r="U120" s="240"/>
      <c r="V120" s="240"/>
      <c r="W120" s="240"/>
      <c r="X120" s="238"/>
      <c r="Y120" s="240"/>
      <c r="Z120" s="240"/>
      <c r="AA120" s="240"/>
      <c r="AB120" s="240"/>
      <c r="AC120" s="240"/>
      <c r="AD120" s="240"/>
      <c r="AE120" s="240"/>
      <c r="AF120" s="240"/>
      <c r="AG120" s="240"/>
      <c r="AH120" s="238"/>
      <c r="AI120" s="240"/>
      <c r="AJ120" s="240"/>
      <c r="AK120" s="240"/>
      <c r="AL120" s="240"/>
      <c r="AM120" s="238"/>
      <c r="AN120" s="240"/>
      <c r="AO120" s="240"/>
      <c r="AP120" s="240"/>
      <c r="AQ120" s="238"/>
      <c r="AR120" s="240"/>
      <c r="AS120" s="240"/>
      <c r="AT120" s="240"/>
      <c r="AU120" s="240"/>
      <c r="AV120" s="240"/>
      <c r="AW120" s="240"/>
      <c r="AX120" s="240"/>
      <c r="AY120" s="240"/>
      <c r="AZ120" s="238"/>
      <c r="BA120" s="240" t="s">
        <v>890</v>
      </c>
      <c r="BB120" s="240"/>
      <c r="BC120" s="240"/>
      <c r="BD120" s="240"/>
      <c r="BE120" s="240"/>
      <c r="BF120" s="240"/>
      <c r="BG120" s="240"/>
      <c r="BH120" s="240"/>
      <c r="BI120" s="240"/>
      <c r="BJ120" s="240"/>
      <c r="BK120" s="240"/>
      <c r="BL120" s="240"/>
      <c r="BM120" s="240"/>
      <c r="BN120" s="240"/>
      <c r="BO120" s="240"/>
      <c r="BP120" s="238"/>
      <c r="BQ120" s="240"/>
      <c r="BR120" s="240"/>
      <c r="BS120" s="240"/>
      <c r="BT120" s="240"/>
      <c r="BU120" s="240"/>
      <c r="BV120" s="240"/>
      <c r="BW120" s="240"/>
      <c r="BX120" s="240"/>
      <c r="BY120" s="240"/>
      <c r="BZ120" s="240"/>
      <c r="CA120" s="240"/>
      <c r="CB120" s="240"/>
      <c r="CC120" s="240"/>
      <c r="CD120" s="240"/>
      <c r="CE120" s="240"/>
      <c r="CF120" s="238"/>
      <c r="CG120" s="240"/>
      <c r="CH120" s="240"/>
      <c r="CI120" s="240"/>
      <c r="CJ120" s="240"/>
      <c r="CK120" s="240"/>
      <c r="CL120" s="240"/>
      <c r="CM120" s="240"/>
      <c r="CN120" s="240"/>
      <c r="CO120" s="240"/>
      <c r="CP120" s="240"/>
      <c r="CQ120" s="240"/>
      <c r="CR120" s="240"/>
      <c r="CS120" s="238"/>
      <c r="CT120" s="240"/>
      <c r="CU120" s="240"/>
      <c r="CV120" s="240"/>
      <c r="CW120" s="240"/>
      <c r="CX120" s="240"/>
      <c r="CY120" s="240"/>
      <c r="CZ120" s="240"/>
      <c r="DA120" s="240"/>
      <c r="DB120" s="240"/>
      <c r="DC120" s="240"/>
      <c r="DD120" s="240"/>
      <c r="DE120" s="240"/>
      <c r="DF120" s="238"/>
      <c r="DG120" s="240"/>
      <c r="DH120" s="240"/>
      <c r="DI120" s="240"/>
      <c r="DJ120" s="240"/>
      <c r="DK120" s="240"/>
      <c r="DL120" s="240"/>
      <c r="DM120" s="240"/>
      <c r="DN120" s="240"/>
      <c r="DO120" s="240"/>
      <c r="DP120" s="240"/>
      <c r="DQ120" s="240"/>
      <c r="DR120" s="238"/>
      <c r="DS120" s="240"/>
      <c r="DT120" s="240"/>
      <c r="DU120" s="240"/>
      <c r="DV120" s="238"/>
      <c r="DW120" s="240"/>
      <c r="DX120" s="240"/>
      <c r="DY120" s="240"/>
      <c r="DZ120" s="240"/>
      <c r="EA120" s="240"/>
      <c r="EB120" s="240"/>
      <c r="EC120" s="240"/>
      <c r="ED120" s="240"/>
      <c r="EE120" s="240"/>
      <c r="EF120" s="238"/>
      <c r="EG120" s="240"/>
      <c r="EH120" s="240"/>
      <c r="EI120" s="240"/>
      <c r="EJ120" s="238"/>
      <c r="EK120" s="240"/>
      <c r="EL120" s="238"/>
      <c r="EM120" s="240"/>
      <c r="EN120" s="240"/>
      <c r="EO120" s="240"/>
      <c r="EP120" s="240"/>
      <c r="EQ120" s="240"/>
      <c r="ER120" s="240"/>
      <c r="ES120" s="240"/>
      <c r="ET120" s="240"/>
      <c r="EU120" s="240"/>
      <c r="EV120" s="240"/>
      <c r="EW120" s="240"/>
      <c r="EX120" s="238"/>
      <c r="EY120" s="240"/>
      <c r="EZ120" s="240"/>
      <c r="FA120" s="240"/>
      <c r="FB120" s="240"/>
      <c r="FC120" s="240"/>
      <c r="FD120" s="240"/>
      <c r="FE120" s="240"/>
      <c r="FF120" s="240"/>
      <c r="FG120" s="240"/>
      <c r="FH120" s="240"/>
      <c r="FI120" s="240"/>
      <c r="FJ120" s="240"/>
      <c r="FK120" s="240"/>
      <c r="FL120" s="240"/>
      <c r="FM120" s="240"/>
      <c r="FN120" s="240"/>
      <c r="FO120" s="238"/>
      <c r="FP120" s="240"/>
      <c r="FQ120" s="240"/>
      <c r="FR120" s="240"/>
      <c r="FS120" s="240"/>
      <c r="FT120" s="240"/>
      <c r="FU120" s="240"/>
      <c r="FV120" s="240"/>
      <c r="FW120" s="240"/>
      <c r="FX120" s="240"/>
      <c r="FY120" s="240"/>
      <c r="FZ120" s="238"/>
      <c r="GA120" s="240"/>
      <c r="GB120" s="240"/>
      <c r="GC120" s="238"/>
      <c r="GD120" s="240"/>
      <c r="GE120" s="240"/>
      <c r="GF120" s="240"/>
      <c r="GG120" s="240"/>
      <c r="GH120" s="238"/>
      <c r="GI120" s="240"/>
      <c r="GJ120" s="240"/>
      <c r="GK120" s="240"/>
      <c r="GL120" s="240"/>
      <c r="GM120" s="238"/>
      <c r="GN120" s="240"/>
      <c r="GO120" s="240"/>
      <c r="GP120" s="240"/>
      <c r="GQ120" s="240"/>
      <c r="GR120" s="240"/>
      <c r="GS120" s="240"/>
      <c r="GT120" s="240"/>
      <c r="GU120" s="240"/>
      <c r="GV120" s="240"/>
      <c r="GW120" s="240"/>
      <c r="GX120" s="240"/>
      <c r="GY120" s="240"/>
      <c r="GZ120" s="240"/>
      <c r="HA120" s="240"/>
      <c r="HB120" s="240"/>
      <c r="HC120" s="240"/>
      <c r="HD120" s="238"/>
      <c r="HE120" s="240"/>
      <c r="HF120" s="240"/>
      <c r="HG120" s="240"/>
      <c r="HH120" s="240"/>
      <c r="HI120" s="240"/>
      <c r="HJ120" s="238"/>
      <c r="HK120" s="240"/>
      <c r="HL120" s="238"/>
      <c r="HM120" s="241"/>
      <c r="HN120" s="235"/>
      <c r="HO120" s="235"/>
      <c r="HP120" s="235"/>
      <c r="HQ120" s="235"/>
    </row>
    <row r="121" spans="2:225" ht="37.5" hidden="1" outlineLevel="2" collapsed="1">
      <c r="B121" s="251" t="s">
        <v>713</v>
      </c>
      <c r="C121" s="252" t="str">
        <f>IF(E66='3. Dropdowns'!C111,"Hide","Show")</f>
        <v>Show</v>
      </c>
      <c r="D121" s="283" t="s">
        <v>3384</v>
      </c>
      <c r="E121" s="248"/>
      <c r="F121" s="284" t="str">
        <f>IF(E121='3. Dropdowns'!C113,"","Submittals, Execution")</f>
        <v>Submittals, Execution</v>
      </c>
      <c r="G121" s="268"/>
      <c r="H121" s="238"/>
      <c r="I121" s="239" t="s">
        <v>890</v>
      </c>
      <c r="J121" s="240"/>
      <c r="K121" s="240"/>
      <c r="L121" s="240"/>
      <c r="M121" s="240"/>
      <c r="N121" s="240"/>
      <c r="O121" s="240"/>
      <c r="P121" s="240"/>
      <c r="Q121" s="240"/>
      <c r="R121" s="240"/>
      <c r="S121" s="240"/>
      <c r="T121" s="240" t="s">
        <v>890</v>
      </c>
      <c r="U121" s="240"/>
      <c r="V121" s="240"/>
      <c r="W121" s="240"/>
      <c r="X121" s="238"/>
      <c r="Y121" s="240"/>
      <c r="Z121" s="240"/>
      <c r="AA121" s="240"/>
      <c r="AB121" s="240"/>
      <c r="AC121" s="240"/>
      <c r="AD121" s="240"/>
      <c r="AE121" s="240"/>
      <c r="AF121" s="240"/>
      <c r="AG121" s="240"/>
      <c r="AH121" s="238"/>
      <c r="AI121" s="240"/>
      <c r="AJ121" s="240"/>
      <c r="AK121" s="240"/>
      <c r="AL121" s="240"/>
      <c r="AM121" s="238"/>
      <c r="AN121" s="240"/>
      <c r="AO121" s="240"/>
      <c r="AP121" s="240"/>
      <c r="AQ121" s="238"/>
      <c r="AR121" s="240"/>
      <c r="AS121" s="240"/>
      <c r="AT121" s="240"/>
      <c r="AU121" s="240"/>
      <c r="AV121" s="240"/>
      <c r="AW121" s="240"/>
      <c r="AX121" s="240"/>
      <c r="AY121" s="240"/>
      <c r="AZ121" s="238"/>
      <c r="BA121" s="240"/>
      <c r="BB121" s="240"/>
      <c r="BC121" s="240"/>
      <c r="BD121" s="240"/>
      <c r="BE121" s="240" t="s">
        <v>890</v>
      </c>
      <c r="BF121" s="240"/>
      <c r="BG121" s="240"/>
      <c r="BH121" s="240"/>
      <c r="BI121" s="240"/>
      <c r="BJ121" s="240"/>
      <c r="BK121" s="240"/>
      <c r="BL121" s="240"/>
      <c r="BM121" s="240"/>
      <c r="BN121" s="240"/>
      <c r="BO121" s="240"/>
      <c r="BP121" s="238"/>
      <c r="BQ121" s="240"/>
      <c r="BR121" s="240"/>
      <c r="BS121" s="240"/>
      <c r="BT121" s="240"/>
      <c r="BU121" s="240"/>
      <c r="BV121" s="240"/>
      <c r="BW121" s="240"/>
      <c r="BX121" s="240"/>
      <c r="BY121" s="240"/>
      <c r="BZ121" s="240"/>
      <c r="CA121" s="240"/>
      <c r="CB121" s="240"/>
      <c r="CC121" s="240"/>
      <c r="CD121" s="240"/>
      <c r="CE121" s="240"/>
      <c r="CF121" s="238"/>
      <c r="CG121" s="240"/>
      <c r="CH121" s="240"/>
      <c r="CI121" s="240"/>
      <c r="CJ121" s="240"/>
      <c r="CK121" s="240"/>
      <c r="CL121" s="240"/>
      <c r="CM121" s="240"/>
      <c r="CN121" s="240"/>
      <c r="CO121" s="240"/>
      <c r="CP121" s="240"/>
      <c r="CQ121" s="240"/>
      <c r="CR121" s="240"/>
      <c r="CS121" s="238"/>
      <c r="CT121" s="240"/>
      <c r="CU121" s="240"/>
      <c r="CV121" s="240"/>
      <c r="CW121" s="240"/>
      <c r="CX121" s="240"/>
      <c r="CY121" s="240"/>
      <c r="CZ121" s="240"/>
      <c r="DA121" s="240"/>
      <c r="DB121" s="240"/>
      <c r="DC121" s="240"/>
      <c r="DD121" s="240"/>
      <c r="DE121" s="240"/>
      <c r="DF121" s="238"/>
      <c r="DG121" s="240"/>
      <c r="DH121" s="240"/>
      <c r="DI121" s="240"/>
      <c r="DJ121" s="240"/>
      <c r="DK121" s="240"/>
      <c r="DL121" s="240"/>
      <c r="DM121" s="240"/>
      <c r="DN121" s="240"/>
      <c r="DO121" s="240"/>
      <c r="DP121" s="240"/>
      <c r="DQ121" s="240"/>
      <c r="DR121" s="238"/>
      <c r="DS121" s="240"/>
      <c r="DT121" s="240"/>
      <c r="DU121" s="240"/>
      <c r="DV121" s="238"/>
      <c r="DW121" s="240"/>
      <c r="DX121" s="240"/>
      <c r="DY121" s="240"/>
      <c r="DZ121" s="240"/>
      <c r="EA121" s="240"/>
      <c r="EB121" s="240"/>
      <c r="EC121" s="240"/>
      <c r="ED121" s="240"/>
      <c r="EE121" s="240"/>
      <c r="EF121" s="238"/>
      <c r="EG121" s="240"/>
      <c r="EH121" s="240"/>
      <c r="EI121" s="240"/>
      <c r="EJ121" s="238"/>
      <c r="EK121" s="240"/>
      <c r="EL121" s="238"/>
      <c r="EM121" s="240"/>
      <c r="EN121" s="240"/>
      <c r="EO121" s="240"/>
      <c r="EP121" s="240"/>
      <c r="EQ121" s="240"/>
      <c r="ER121" s="240"/>
      <c r="ES121" s="240"/>
      <c r="ET121" s="240"/>
      <c r="EU121" s="240"/>
      <c r="EV121" s="240"/>
      <c r="EW121" s="240"/>
      <c r="EX121" s="238"/>
      <c r="EY121" s="240"/>
      <c r="EZ121" s="240"/>
      <c r="FA121" s="240"/>
      <c r="FB121" s="240"/>
      <c r="FC121" s="240"/>
      <c r="FD121" s="240"/>
      <c r="FE121" s="240"/>
      <c r="FF121" s="240"/>
      <c r="FG121" s="240"/>
      <c r="FH121" s="240"/>
      <c r="FI121" s="240"/>
      <c r="FJ121" s="240"/>
      <c r="FK121" s="240"/>
      <c r="FL121" s="240"/>
      <c r="FM121" s="240"/>
      <c r="FN121" s="240"/>
      <c r="FO121" s="238"/>
      <c r="FP121" s="240"/>
      <c r="FQ121" s="240"/>
      <c r="FR121" s="240"/>
      <c r="FS121" s="240"/>
      <c r="FT121" s="240"/>
      <c r="FU121" s="240"/>
      <c r="FV121" s="240"/>
      <c r="FW121" s="240"/>
      <c r="FX121" s="240"/>
      <c r="FY121" s="240"/>
      <c r="FZ121" s="238"/>
      <c r="GA121" s="240"/>
      <c r="GB121" s="240"/>
      <c r="GC121" s="238"/>
      <c r="GD121" s="240"/>
      <c r="GE121" s="240"/>
      <c r="GF121" s="240"/>
      <c r="GG121" s="240"/>
      <c r="GH121" s="238"/>
      <c r="GI121" s="240"/>
      <c r="GJ121" s="240"/>
      <c r="GK121" s="240"/>
      <c r="GL121" s="240"/>
      <c r="GM121" s="238"/>
      <c r="GN121" s="240"/>
      <c r="GO121" s="240"/>
      <c r="GP121" s="240"/>
      <c r="GQ121" s="240"/>
      <c r="GR121" s="240"/>
      <c r="GS121" s="240"/>
      <c r="GT121" s="240"/>
      <c r="GU121" s="240"/>
      <c r="GV121" s="240"/>
      <c r="GW121" s="240"/>
      <c r="GX121" s="240"/>
      <c r="GY121" s="240"/>
      <c r="GZ121" s="240"/>
      <c r="HA121" s="240"/>
      <c r="HB121" s="240"/>
      <c r="HC121" s="240"/>
      <c r="HD121" s="238"/>
      <c r="HE121" s="240"/>
      <c r="HF121" s="240"/>
      <c r="HG121" s="240"/>
      <c r="HH121" s="240"/>
      <c r="HI121" s="240"/>
      <c r="HJ121" s="238"/>
      <c r="HK121" s="240"/>
      <c r="HL121" s="238"/>
      <c r="HM121" s="241"/>
      <c r="HN121" s="235"/>
      <c r="HO121" s="235"/>
      <c r="HP121" s="235"/>
      <c r="HQ121" s="235"/>
    </row>
    <row r="122" spans="2:225" ht="56.25" hidden="1" outlineLevel="3">
      <c r="B122" s="251" t="s">
        <v>1787</v>
      </c>
      <c r="C122" s="252" t="str">
        <f>IF(E121='3. Dropdowns'!C113,"Hide",IF(E66='3. Dropdowns'!C111,"Hide","Show"))</f>
        <v>Show</v>
      </c>
      <c r="D122" s="283" t="s">
        <v>3220</v>
      </c>
      <c r="E122" s="248"/>
      <c r="F122" s="284" t="str">
        <f>IF(E122='3. Dropdowns'!C115,"","Submittals")</f>
        <v>Submittals</v>
      </c>
      <c r="G122" s="268"/>
      <c r="H122" s="238"/>
      <c r="I122" s="239" t="s">
        <v>890</v>
      </c>
      <c r="J122" s="240"/>
      <c r="K122" s="240"/>
      <c r="L122" s="240"/>
      <c r="M122" s="240"/>
      <c r="N122" s="240"/>
      <c r="O122" s="240"/>
      <c r="P122" s="240"/>
      <c r="Q122" s="240"/>
      <c r="R122" s="240"/>
      <c r="S122" s="240"/>
      <c r="T122" s="240" t="s">
        <v>890</v>
      </c>
      <c r="U122" s="240"/>
      <c r="V122" s="240"/>
      <c r="W122" s="240"/>
      <c r="X122" s="238"/>
      <c r="Y122" s="240"/>
      <c r="Z122" s="240"/>
      <c r="AA122" s="240"/>
      <c r="AB122" s="240"/>
      <c r="AC122" s="240"/>
      <c r="AD122" s="240"/>
      <c r="AE122" s="240"/>
      <c r="AF122" s="240"/>
      <c r="AG122" s="240"/>
      <c r="AH122" s="238"/>
      <c r="AI122" s="240"/>
      <c r="AJ122" s="240"/>
      <c r="AK122" s="240"/>
      <c r="AL122" s="240"/>
      <c r="AM122" s="238"/>
      <c r="AN122" s="240"/>
      <c r="AO122" s="240"/>
      <c r="AP122" s="240"/>
      <c r="AQ122" s="238"/>
      <c r="AR122" s="240"/>
      <c r="AS122" s="240"/>
      <c r="AT122" s="240"/>
      <c r="AU122" s="240"/>
      <c r="AV122" s="240"/>
      <c r="AW122" s="240"/>
      <c r="AX122" s="240"/>
      <c r="AY122" s="240"/>
      <c r="AZ122" s="238"/>
      <c r="BA122" s="240"/>
      <c r="BB122" s="240"/>
      <c r="BC122" s="240"/>
      <c r="BD122" s="240"/>
      <c r="BE122" s="240" t="s">
        <v>890</v>
      </c>
      <c r="BF122" s="240"/>
      <c r="BG122" s="240"/>
      <c r="BH122" s="240"/>
      <c r="BI122" s="240"/>
      <c r="BJ122" s="240"/>
      <c r="BK122" s="240"/>
      <c r="BL122" s="240"/>
      <c r="BM122" s="240"/>
      <c r="BN122" s="240"/>
      <c r="BO122" s="240"/>
      <c r="BP122" s="238"/>
      <c r="BQ122" s="240"/>
      <c r="BR122" s="240"/>
      <c r="BS122" s="240"/>
      <c r="BT122" s="240"/>
      <c r="BU122" s="240"/>
      <c r="BV122" s="240"/>
      <c r="BW122" s="240"/>
      <c r="BX122" s="240"/>
      <c r="BY122" s="240"/>
      <c r="BZ122" s="240"/>
      <c r="CA122" s="240"/>
      <c r="CB122" s="240"/>
      <c r="CC122" s="240"/>
      <c r="CD122" s="240"/>
      <c r="CE122" s="240"/>
      <c r="CF122" s="238"/>
      <c r="CG122" s="240"/>
      <c r="CH122" s="240"/>
      <c r="CI122" s="240"/>
      <c r="CJ122" s="240"/>
      <c r="CK122" s="240"/>
      <c r="CL122" s="240"/>
      <c r="CM122" s="240"/>
      <c r="CN122" s="240"/>
      <c r="CO122" s="240"/>
      <c r="CP122" s="240"/>
      <c r="CQ122" s="240"/>
      <c r="CR122" s="240"/>
      <c r="CS122" s="238"/>
      <c r="CT122" s="240"/>
      <c r="CU122" s="240"/>
      <c r="CV122" s="240"/>
      <c r="CW122" s="240"/>
      <c r="CX122" s="240"/>
      <c r="CY122" s="240"/>
      <c r="CZ122" s="240"/>
      <c r="DA122" s="240"/>
      <c r="DB122" s="240"/>
      <c r="DC122" s="240"/>
      <c r="DD122" s="240"/>
      <c r="DE122" s="240"/>
      <c r="DF122" s="238"/>
      <c r="DG122" s="240"/>
      <c r="DH122" s="240"/>
      <c r="DI122" s="240"/>
      <c r="DJ122" s="240"/>
      <c r="DK122" s="240"/>
      <c r="DL122" s="240"/>
      <c r="DM122" s="240"/>
      <c r="DN122" s="240"/>
      <c r="DO122" s="240"/>
      <c r="DP122" s="240"/>
      <c r="DQ122" s="240"/>
      <c r="DR122" s="238"/>
      <c r="DS122" s="240"/>
      <c r="DT122" s="240"/>
      <c r="DU122" s="240"/>
      <c r="DV122" s="238"/>
      <c r="DW122" s="240"/>
      <c r="DX122" s="240"/>
      <c r="DY122" s="240"/>
      <c r="DZ122" s="240"/>
      <c r="EA122" s="240"/>
      <c r="EB122" s="240"/>
      <c r="EC122" s="240"/>
      <c r="ED122" s="240"/>
      <c r="EE122" s="240"/>
      <c r="EF122" s="238"/>
      <c r="EG122" s="240"/>
      <c r="EH122" s="240"/>
      <c r="EI122" s="240"/>
      <c r="EJ122" s="238"/>
      <c r="EK122" s="240"/>
      <c r="EL122" s="238"/>
      <c r="EM122" s="240"/>
      <c r="EN122" s="240"/>
      <c r="EO122" s="240"/>
      <c r="EP122" s="240"/>
      <c r="EQ122" s="240"/>
      <c r="ER122" s="240"/>
      <c r="ES122" s="240"/>
      <c r="ET122" s="240"/>
      <c r="EU122" s="240"/>
      <c r="EV122" s="240"/>
      <c r="EW122" s="240"/>
      <c r="EX122" s="238"/>
      <c r="EY122" s="240"/>
      <c r="EZ122" s="240"/>
      <c r="FA122" s="240"/>
      <c r="FB122" s="240"/>
      <c r="FC122" s="240"/>
      <c r="FD122" s="240"/>
      <c r="FE122" s="240"/>
      <c r="FF122" s="240"/>
      <c r="FG122" s="240"/>
      <c r="FH122" s="240"/>
      <c r="FI122" s="240"/>
      <c r="FJ122" s="240"/>
      <c r="FK122" s="240"/>
      <c r="FL122" s="240"/>
      <c r="FM122" s="240"/>
      <c r="FN122" s="240"/>
      <c r="FO122" s="238"/>
      <c r="FP122" s="240"/>
      <c r="FQ122" s="240"/>
      <c r="FR122" s="240"/>
      <c r="FS122" s="240"/>
      <c r="FT122" s="240"/>
      <c r="FU122" s="240"/>
      <c r="FV122" s="240"/>
      <c r="FW122" s="240"/>
      <c r="FX122" s="240"/>
      <c r="FY122" s="240"/>
      <c r="FZ122" s="238"/>
      <c r="GA122" s="240"/>
      <c r="GB122" s="240"/>
      <c r="GC122" s="238"/>
      <c r="GD122" s="240"/>
      <c r="GE122" s="240"/>
      <c r="GF122" s="240"/>
      <c r="GG122" s="240"/>
      <c r="GH122" s="238"/>
      <c r="GI122" s="240"/>
      <c r="GJ122" s="240"/>
      <c r="GK122" s="240"/>
      <c r="GL122" s="240"/>
      <c r="GM122" s="238"/>
      <c r="GN122" s="240"/>
      <c r="GO122" s="240"/>
      <c r="GP122" s="240"/>
      <c r="GQ122" s="240"/>
      <c r="GR122" s="240"/>
      <c r="GS122" s="240"/>
      <c r="GT122" s="240"/>
      <c r="GU122" s="240"/>
      <c r="GV122" s="240"/>
      <c r="GW122" s="240"/>
      <c r="GX122" s="240"/>
      <c r="GY122" s="240"/>
      <c r="GZ122" s="240"/>
      <c r="HA122" s="240"/>
      <c r="HB122" s="240"/>
      <c r="HC122" s="240"/>
      <c r="HD122" s="238"/>
      <c r="HE122" s="240"/>
      <c r="HF122" s="240"/>
      <c r="HG122" s="240"/>
      <c r="HH122" s="240"/>
      <c r="HI122" s="240"/>
      <c r="HJ122" s="238"/>
      <c r="HK122" s="240"/>
      <c r="HL122" s="238"/>
      <c r="HM122" s="241"/>
      <c r="HN122" s="235"/>
      <c r="HO122" s="235"/>
      <c r="HP122" s="235"/>
      <c r="HQ122" s="235"/>
    </row>
    <row r="123" spans="2:225" ht="37.5" hidden="1" outlineLevel="3">
      <c r="B123" s="251" t="s">
        <v>1787</v>
      </c>
      <c r="C123" s="252" t="str">
        <f>IF(E121='3. Dropdowns'!C113,"Hide",IF(E66='3. Dropdowns'!C111,"Hide","Show"))</f>
        <v>Show</v>
      </c>
      <c r="D123" s="283" t="s">
        <v>3221</v>
      </c>
      <c r="E123" s="248"/>
      <c r="F123" s="284" t="str">
        <f>IF(E123='3. Dropdowns'!C115,"","Submittals, Execution")</f>
        <v>Submittals, Execution</v>
      </c>
      <c r="G123" s="268"/>
      <c r="H123" s="238"/>
      <c r="I123" s="239" t="s">
        <v>890</v>
      </c>
      <c r="J123" s="240"/>
      <c r="K123" s="240"/>
      <c r="L123" s="240"/>
      <c r="M123" s="240"/>
      <c r="N123" s="240"/>
      <c r="O123" s="240"/>
      <c r="P123" s="240"/>
      <c r="Q123" s="240"/>
      <c r="R123" s="240"/>
      <c r="S123" s="240"/>
      <c r="T123" s="240" t="s">
        <v>890</v>
      </c>
      <c r="U123" s="240"/>
      <c r="V123" s="240"/>
      <c r="W123" s="240"/>
      <c r="X123" s="238"/>
      <c r="Y123" s="240"/>
      <c r="Z123" s="240"/>
      <c r="AA123" s="240"/>
      <c r="AB123" s="240"/>
      <c r="AC123" s="240"/>
      <c r="AD123" s="240"/>
      <c r="AE123" s="240"/>
      <c r="AF123" s="240"/>
      <c r="AG123" s="240"/>
      <c r="AH123" s="238"/>
      <c r="AI123" s="240"/>
      <c r="AJ123" s="240"/>
      <c r="AK123" s="240"/>
      <c r="AL123" s="240"/>
      <c r="AM123" s="238"/>
      <c r="AN123" s="240"/>
      <c r="AO123" s="240"/>
      <c r="AP123" s="240"/>
      <c r="AQ123" s="238"/>
      <c r="AR123" s="240"/>
      <c r="AS123" s="240"/>
      <c r="AT123" s="240"/>
      <c r="AU123" s="240"/>
      <c r="AV123" s="240"/>
      <c r="AW123" s="240"/>
      <c r="AX123" s="240"/>
      <c r="AY123" s="240"/>
      <c r="AZ123" s="238"/>
      <c r="BA123" s="240"/>
      <c r="BB123" s="240"/>
      <c r="BC123" s="240"/>
      <c r="BD123" s="240"/>
      <c r="BE123" s="240" t="s">
        <v>890</v>
      </c>
      <c r="BF123" s="240"/>
      <c r="BG123" s="240"/>
      <c r="BH123" s="240"/>
      <c r="BI123" s="240"/>
      <c r="BJ123" s="240"/>
      <c r="BK123" s="240"/>
      <c r="BL123" s="240"/>
      <c r="BM123" s="240"/>
      <c r="BN123" s="240"/>
      <c r="BO123" s="240"/>
      <c r="BP123" s="238"/>
      <c r="BQ123" s="240"/>
      <c r="BR123" s="240"/>
      <c r="BS123" s="240"/>
      <c r="BT123" s="240"/>
      <c r="BU123" s="240"/>
      <c r="BV123" s="240"/>
      <c r="BW123" s="240"/>
      <c r="BX123" s="240"/>
      <c r="BY123" s="240"/>
      <c r="BZ123" s="240"/>
      <c r="CA123" s="240"/>
      <c r="CB123" s="240"/>
      <c r="CC123" s="240"/>
      <c r="CD123" s="240"/>
      <c r="CE123" s="240"/>
      <c r="CF123" s="238"/>
      <c r="CG123" s="240"/>
      <c r="CH123" s="240"/>
      <c r="CI123" s="240"/>
      <c r="CJ123" s="240"/>
      <c r="CK123" s="240"/>
      <c r="CL123" s="240"/>
      <c r="CM123" s="240"/>
      <c r="CN123" s="240"/>
      <c r="CO123" s="240"/>
      <c r="CP123" s="240"/>
      <c r="CQ123" s="240"/>
      <c r="CR123" s="240"/>
      <c r="CS123" s="238"/>
      <c r="CT123" s="240"/>
      <c r="CU123" s="240"/>
      <c r="CV123" s="240"/>
      <c r="CW123" s="240"/>
      <c r="CX123" s="240"/>
      <c r="CY123" s="240"/>
      <c r="CZ123" s="240"/>
      <c r="DA123" s="240"/>
      <c r="DB123" s="240"/>
      <c r="DC123" s="240"/>
      <c r="DD123" s="240"/>
      <c r="DE123" s="240"/>
      <c r="DF123" s="238"/>
      <c r="DG123" s="240"/>
      <c r="DH123" s="240"/>
      <c r="DI123" s="240"/>
      <c r="DJ123" s="240"/>
      <c r="DK123" s="240"/>
      <c r="DL123" s="240"/>
      <c r="DM123" s="240"/>
      <c r="DN123" s="240"/>
      <c r="DO123" s="240"/>
      <c r="DP123" s="240"/>
      <c r="DQ123" s="240"/>
      <c r="DR123" s="238"/>
      <c r="DS123" s="240"/>
      <c r="DT123" s="240"/>
      <c r="DU123" s="240"/>
      <c r="DV123" s="238"/>
      <c r="DW123" s="240"/>
      <c r="DX123" s="240"/>
      <c r="DY123" s="240"/>
      <c r="DZ123" s="240"/>
      <c r="EA123" s="240"/>
      <c r="EB123" s="240"/>
      <c r="EC123" s="240"/>
      <c r="ED123" s="240"/>
      <c r="EE123" s="240"/>
      <c r="EF123" s="238"/>
      <c r="EG123" s="240"/>
      <c r="EH123" s="240"/>
      <c r="EI123" s="240"/>
      <c r="EJ123" s="238"/>
      <c r="EK123" s="240"/>
      <c r="EL123" s="238"/>
      <c r="EM123" s="240"/>
      <c r="EN123" s="240"/>
      <c r="EO123" s="240"/>
      <c r="EP123" s="240"/>
      <c r="EQ123" s="240"/>
      <c r="ER123" s="240"/>
      <c r="ES123" s="240"/>
      <c r="ET123" s="240"/>
      <c r="EU123" s="240"/>
      <c r="EV123" s="240"/>
      <c r="EW123" s="240"/>
      <c r="EX123" s="238"/>
      <c r="EY123" s="240"/>
      <c r="EZ123" s="240"/>
      <c r="FA123" s="240"/>
      <c r="FB123" s="240"/>
      <c r="FC123" s="240"/>
      <c r="FD123" s="240"/>
      <c r="FE123" s="240"/>
      <c r="FF123" s="240"/>
      <c r="FG123" s="240"/>
      <c r="FH123" s="240"/>
      <c r="FI123" s="240"/>
      <c r="FJ123" s="240"/>
      <c r="FK123" s="240"/>
      <c r="FL123" s="240"/>
      <c r="FM123" s="240"/>
      <c r="FN123" s="240"/>
      <c r="FO123" s="238"/>
      <c r="FP123" s="240"/>
      <c r="FQ123" s="240"/>
      <c r="FR123" s="240"/>
      <c r="FS123" s="240"/>
      <c r="FT123" s="240"/>
      <c r="FU123" s="240"/>
      <c r="FV123" s="240"/>
      <c r="FW123" s="240"/>
      <c r="FX123" s="240"/>
      <c r="FY123" s="240"/>
      <c r="FZ123" s="238"/>
      <c r="GA123" s="240"/>
      <c r="GB123" s="240"/>
      <c r="GC123" s="238"/>
      <c r="GD123" s="240"/>
      <c r="GE123" s="240"/>
      <c r="GF123" s="240"/>
      <c r="GG123" s="240"/>
      <c r="GH123" s="238"/>
      <c r="GI123" s="240"/>
      <c r="GJ123" s="240"/>
      <c r="GK123" s="240"/>
      <c r="GL123" s="240"/>
      <c r="GM123" s="238"/>
      <c r="GN123" s="240"/>
      <c r="GO123" s="240"/>
      <c r="GP123" s="240"/>
      <c r="GQ123" s="240"/>
      <c r="GR123" s="240"/>
      <c r="GS123" s="240"/>
      <c r="GT123" s="240"/>
      <c r="GU123" s="240"/>
      <c r="GV123" s="240"/>
      <c r="GW123" s="240"/>
      <c r="GX123" s="240"/>
      <c r="GY123" s="240"/>
      <c r="GZ123" s="240"/>
      <c r="HA123" s="240"/>
      <c r="HB123" s="240"/>
      <c r="HC123" s="240"/>
      <c r="HD123" s="238"/>
      <c r="HE123" s="240"/>
      <c r="HF123" s="240"/>
      <c r="HG123" s="240"/>
      <c r="HH123" s="240"/>
      <c r="HI123" s="240"/>
      <c r="HJ123" s="238"/>
      <c r="HK123" s="240"/>
      <c r="HL123" s="238"/>
      <c r="HM123" s="241"/>
      <c r="HN123" s="235"/>
      <c r="HO123" s="235"/>
      <c r="HP123" s="235"/>
      <c r="HQ123" s="235"/>
    </row>
    <row r="124" spans="2:225" ht="37.5" hidden="1" outlineLevel="3">
      <c r="B124" s="251" t="s">
        <v>1787</v>
      </c>
      <c r="C124" s="252" t="str">
        <f>IF(E121='3. Dropdowns'!C113,"Hide",IF(E66='3. Dropdowns'!C111,"Hide","Show"))</f>
        <v>Show</v>
      </c>
      <c r="D124" s="283" t="s">
        <v>3222</v>
      </c>
      <c r="E124" s="248"/>
      <c r="F124" s="284" t="str">
        <f>IF(E124='3. Dropdowns'!C115,"","Submittals, Execution")</f>
        <v>Submittals, Execution</v>
      </c>
      <c r="G124" s="268"/>
      <c r="H124" s="238"/>
      <c r="I124" s="239" t="s">
        <v>890</v>
      </c>
      <c r="J124" s="240"/>
      <c r="K124" s="240"/>
      <c r="L124" s="240"/>
      <c r="M124" s="240"/>
      <c r="N124" s="240"/>
      <c r="O124" s="240"/>
      <c r="P124" s="240"/>
      <c r="Q124" s="240"/>
      <c r="R124" s="240"/>
      <c r="S124" s="240"/>
      <c r="T124" s="240" t="s">
        <v>890</v>
      </c>
      <c r="U124" s="240"/>
      <c r="V124" s="240"/>
      <c r="W124" s="240"/>
      <c r="X124" s="238"/>
      <c r="Y124" s="240"/>
      <c r="Z124" s="240"/>
      <c r="AA124" s="240"/>
      <c r="AB124" s="240"/>
      <c r="AC124" s="240"/>
      <c r="AD124" s="240"/>
      <c r="AE124" s="240"/>
      <c r="AF124" s="240"/>
      <c r="AG124" s="240"/>
      <c r="AH124" s="238"/>
      <c r="AI124" s="240"/>
      <c r="AJ124" s="240"/>
      <c r="AK124" s="240"/>
      <c r="AL124" s="240"/>
      <c r="AM124" s="238"/>
      <c r="AN124" s="240"/>
      <c r="AO124" s="240"/>
      <c r="AP124" s="240"/>
      <c r="AQ124" s="238"/>
      <c r="AR124" s="240"/>
      <c r="AS124" s="240"/>
      <c r="AT124" s="240"/>
      <c r="AU124" s="240"/>
      <c r="AV124" s="240"/>
      <c r="AW124" s="240"/>
      <c r="AX124" s="240"/>
      <c r="AY124" s="240"/>
      <c r="AZ124" s="238"/>
      <c r="BA124" s="240"/>
      <c r="BB124" s="240"/>
      <c r="BC124" s="240"/>
      <c r="BD124" s="240"/>
      <c r="BE124" s="240"/>
      <c r="BF124" s="240"/>
      <c r="BG124" s="240"/>
      <c r="BH124" s="240"/>
      <c r="BI124" s="240"/>
      <c r="BJ124" s="240"/>
      <c r="BK124" s="240"/>
      <c r="BL124" s="240"/>
      <c r="BM124" s="240"/>
      <c r="BN124" s="240"/>
      <c r="BO124" s="240"/>
      <c r="BP124" s="238"/>
      <c r="BQ124" s="240"/>
      <c r="BR124" s="240"/>
      <c r="BS124" s="240"/>
      <c r="BT124" s="240"/>
      <c r="BU124" s="240"/>
      <c r="BV124" s="240"/>
      <c r="BW124" s="240"/>
      <c r="BX124" s="240"/>
      <c r="BY124" s="240"/>
      <c r="BZ124" s="240"/>
      <c r="CA124" s="240"/>
      <c r="CB124" s="240"/>
      <c r="CC124" s="240"/>
      <c r="CD124" s="240"/>
      <c r="CE124" s="240"/>
      <c r="CF124" s="238"/>
      <c r="CG124" s="240"/>
      <c r="CH124" s="240"/>
      <c r="CI124" s="240"/>
      <c r="CJ124" s="240"/>
      <c r="CK124" s="240"/>
      <c r="CL124" s="240"/>
      <c r="CM124" s="240"/>
      <c r="CN124" s="240"/>
      <c r="CO124" s="240"/>
      <c r="CP124" s="240"/>
      <c r="CQ124" s="240"/>
      <c r="CR124" s="240"/>
      <c r="CS124" s="238"/>
      <c r="CT124" s="240"/>
      <c r="CU124" s="240"/>
      <c r="CV124" s="240"/>
      <c r="CW124" s="240"/>
      <c r="CX124" s="240"/>
      <c r="CY124" s="240"/>
      <c r="CZ124" s="240"/>
      <c r="DA124" s="240"/>
      <c r="DB124" s="240"/>
      <c r="DC124" s="240"/>
      <c r="DD124" s="240"/>
      <c r="DE124" s="240"/>
      <c r="DF124" s="238"/>
      <c r="DG124" s="240"/>
      <c r="DH124" s="240"/>
      <c r="DI124" s="240"/>
      <c r="DJ124" s="240"/>
      <c r="DK124" s="240"/>
      <c r="DL124" s="240"/>
      <c r="DM124" s="240"/>
      <c r="DN124" s="240"/>
      <c r="DO124" s="240"/>
      <c r="DP124" s="240"/>
      <c r="DQ124" s="240"/>
      <c r="DR124" s="238"/>
      <c r="DS124" s="240"/>
      <c r="DT124" s="240"/>
      <c r="DU124" s="240"/>
      <c r="DV124" s="238"/>
      <c r="DW124" s="240"/>
      <c r="DX124" s="240"/>
      <c r="DY124" s="240"/>
      <c r="DZ124" s="240"/>
      <c r="EA124" s="240"/>
      <c r="EB124" s="240"/>
      <c r="EC124" s="240"/>
      <c r="ED124" s="240"/>
      <c r="EE124" s="240"/>
      <c r="EF124" s="238"/>
      <c r="EG124" s="240"/>
      <c r="EH124" s="240"/>
      <c r="EI124" s="240"/>
      <c r="EJ124" s="238"/>
      <c r="EK124" s="240"/>
      <c r="EL124" s="238"/>
      <c r="EM124" s="240"/>
      <c r="EN124" s="240"/>
      <c r="EO124" s="240"/>
      <c r="EP124" s="240"/>
      <c r="EQ124" s="240"/>
      <c r="ER124" s="240"/>
      <c r="ES124" s="240"/>
      <c r="ET124" s="240"/>
      <c r="EU124" s="240"/>
      <c r="EV124" s="240"/>
      <c r="EW124" s="240"/>
      <c r="EX124" s="238"/>
      <c r="EY124" s="240"/>
      <c r="EZ124" s="240"/>
      <c r="FA124" s="240"/>
      <c r="FB124" s="240"/>
      <c r="FC124" s="240"/>
      <c r="FD124" s="240"/>
      <c r="FE124" s="240"/>
      <c r="FF124" s="240"/>
      <c r="FG124" s="240"/>
      <c r="FH124" s="240"/>
      <c r="FI124" s="240"/>
      <c r="FJ124" s="240"/>
      <c r="FK124" s="240"/>
      <c r="FL124" s="240"/>
      <c r="FM124" s="240"/>
      <c r="FN124" s="240"/>
      <c r="FO124" s="238"/>
      <c r="FP124" s="240"/>
      <c r="FQ124" s="240"/>
      <c r="FR124" s="240"/>
      <c r="FS124" s="240"/>
      <c r="FT124" s="240"/>
      <c r="FU124" s="240"/>
      <c r="FV124" s="240"/>
      <c r="FW124" s="240"/>
      <c r="FX124" s="240"/>
      <c r="FY124" s="240"/>
      <c r="FZ124" s="238"/>
      <c r="GA124" s="240"/>
      <c r="GB124" s="240"/>
      <c r="GC124" s="238"/>
      <c r="GD124" s="240"/>
      <c r="GE124" s="240"/>
      <c r="GF124" s="240"/>
      <c r="GG124" s="240"/>
      <c r="GH124" s="238"/>
      <c r="GI124" s="240"/>
      <c r="GJ124" s="240"/>
      <c r="GK124" s="240"/>
      <c r="GL124" s="240"/>
      <c r="GM124" s="238"/>
      <c r="GN124" s="240"/>
      <c r="GO124" s="240"/>
      <c r="GP124" s="240"/>
      <c r="GQ124" s="240"/>
      <c r="GR124" s="240"/>
      <c r="GS124" s="240"/>
      <c r="GT124" s="240"/>
      <c r="GU124" s="240"/>
      <c r="GV124" s="240"/>
      <c r="GW124" s="240"/>
      <c r="GX124" s="240"/>
      <c r="GY124" s="240"/>
      <c r="GZ124" s="240"/>
      <c r="HA124" s="240"/>
      <c r="HB124" s="240"/>
      <c r="HC124" s="240"/>
      <c r="HD124" s="238"/>
      <c r="HE124" s="240"/>
      <c r="HF124" s="240"/>
      <c r="HG124" s="240"/>
      <c r="HH124" s="240"/>
      <c r="HI124" s="240"/>
      <c r="HJ124" s="238"/>
      <c r="HK124" s="240"/>
      <c r="HL124" s="238"/>
      <c r="HM124" s="241"/>
      <c r="HN124" s="235"/>
      <c r="HO124" s="235"/>
      <c r="HP124" s="235"/>
      <c r="HQ124" s="235"/>
    </row>
    <row r="125" spans="2:225" ht="37.5" hidden="1" outlineLevel="3">
      <c r="B125" s="251" t="s">
        <v>1787</v>
      </c>
      <c r="C125" s="252" t="str">
        <f>IF(E121='3. Dropdowns'!C113,"Hide",IF(E66='3. Dropdowns'!C111,"Hide","Show"))</f>
        <v>Show</v>
      </c>
      <c r="D125" s="283" t="s">
        <v>3223</v>
      </c>
      <c r="E125" s="248"/>
      <c r="F125" s="284" t="str">
        <f>IF(E125='3. Dropdowns'!C115,"","Execution")</f>
        <v>Execution</v>
      </c>
      <c r="G125" s="268"/>
      <c r="H125" s="238"/>
      <c r="I125" s="239" t="s">
        <v>890</v>
      </c>
      <c r="J125" s="240"/>
      <c r="K125" s="240"/>
      <c r="L125" s="240"/>
      <c r="M125" s="240"/>
      <c r="N125" s="240"/>
      <c r="O125" s="240"/>
      <c r="P125" s="240"/>
      <c r="Q125" s="240"/>
      <c r="R125" s="240"/>
      <c r="S125" s="240"/>
      <c r="T125" s="240" t="s">
        <v>890</v>
      </c>
      <c r="U125" s="240"/>
      <c r="V125" s="240"/>
      <c r="W125" s="240"/>
      <c r="X125" s="238"/>
      <c r="Y125" s="240"/>
      <c r="Z125" s="240"/>
      <c r="AA125" s="240"/>
      <c r="AB125" s="240"/>
      <c r="AC125" s="240"/>
      <c r="AD125" s="240"/>
      <c r="AE125" s="240"/>
      <c r="AF125" s="240"/>
      <c r="AG125" s="240"/>
      <c r="AH125" s="238"/>
      <c r="AI125" s="240"/>
      <c r="AJ125" s="240"/>
      <c r="AK125" s="240"/>
      <c r="AL125" s="240"/>
      <c r="AM125" s="238"/>
      <c r="AN125" s="240"/>
      <c r="AO125" s="240"/>
      <c r="AP125" s="240"/>
      <c r="AQ125" s="238"/>
      <c r="AR125" s="240"/>
      <c r="AS125" s="240"/>
      <c r="AT125" s="240"/>
      <c r="AU125" s="240"/>
      <c r="AV125" s="240"/>
      <c r="AW125" s="240"/>
      <c r="AX125" s="240"/>
      <c r="AY125" s="240"/>
      <c r="AZ125" s="238"/>
      <c r="BA125" s="240"/>
      <c r="BB125" s="240"/>
      <c r="BC125" s="240"/>
      <c r="BD125" s="240"/>
      <c r="BE125" s="240" t="s">
        <v>890</v>
      </c>
      <c r="BF125" s="240"/>
      <c r="BG125" s="240"/>
      <c r="BH125" s="240"/>
      <c r="BI125" s="240"/>
      <c r="BJ125" s="240"/>
      <c r="BK125" s="240"/>
      <c r="BL125" s="240"/>
      <c r="BM125" s="240"/>
      <c r="BN125" s="240"/>
      <c r="BO125" s="240"/>
      <c r="BP125" s="238"/>
      <c r="BQ125" s="240"/>
      <c r="BR125" s="240"/>
      <c r="BS125" s="240"/>
      <c r="BT125" s="240"/>
      <c r="BU125" s="240"/>
      <c r="BV125" s="240"/>
      <c r="BW125" s="240"/>
      <c r="BX125" s="240"/>
      <c r="BY125" s="240"/>
      <c r="BZ125" s="240"/>
      <c r="CA125" s="240"/>
      <c r="CB125" s="240"/>
      <c r="CC125" s="240"/>
      <c r="CD125" s="240"/>
      <c r="CE125" s="240"/>
      <c r="CF125" s="238"/>
      <c r="CG125" s="240"/>
      <c r="CH125" s="240"/>
      <c r="CI125" s="240"/>
      <c r="CJ125" s="240"/>
      <c r="CK125" s="240"/>
      <c r="CL125" s="240"/>
      <c r="CM125" s="240"/>
      <c r="CN125" s="240"/>
      <c r="CO125" s="240"/>
      <c r="CP125" s="240"/>
      <c r="CQ125" s="240"/>
      <c r="CR125" s="240"/>
      <c r="CS125" s="238"/>
      <c r="CT125" s="240"/>
      <c r="CU125" s="240"/>
      <c r="CV125" s="240"/>
      <c r="CW125" s="240"/>
      <c r="CX125" s="240"/>
      <c r="CY125" s="240"/>
      <c r="CZ125" s="240"/>
      <c r="DA125" s="240"/>
      <c r="DB125" s="240"/>
      <c r="DC125" s="240"/>
      <c r="DD125" s="240"/>
      <c r="DE125" s="240"/>
      <c r="DF125" s="238"/>
      <c r="DG125" s="240"/>
      <c r="DH125" s="240"/>
      <c r="DI125" s="240"/>
      <c r="DJ125" s="240"/>
      <c r="DK125" s="240"/>
      <c r="DL125" s="240"/>
      <c r="DM125" s="240"/>
      <c r="DN125" s="240"/>
      <c r="DO125" s="240"/>
      <c r="DP125" s="240"/>
      <c r="DQ125" s="240"/>
      <c r="DR125" s="238"/>
      <c r="DS125" s="240"/>
      <c r="DT125" s="240"/>
      <c r="DU125" s="240"/>
      <c r="DV125" s="238"/>
      <c r="DW125" s="240"/>
      <c r="DX125" s="240"/>
      <c r="DY125" s="240"/>
      <c r="DZ125" s="240"/>
      <c r="EA125" s="240"/>
      <c r="EB125" s="240"/>
      <c r="EC125" s="240"/>
      <c r="ED125" s="240"/>
      <c r="EE125" s="240"/>
      <c r="EF125" s="238"/>
      <c r="EG125" s="240"/>
      <c r="EH125" s="240"/>
      <c r="EI125" s="240"/>
      <c r="EJ125" s="238"/>
      <c r="EK125" s="240"/>
      <c r="EL125" s="238"/>
      <c r="EM125" s="240"/>
      <c r="EN125" s="240"/>
      <c r="EO125" s="240"/>
      <c r="EP125" s="240"/>
      <c r="EQ125" s="240"/>
      <c r="ER125" s="240"/>
      <c r="ES125" s="240"/>
      <c r="ET125" s="240"/>
      <c r="EU125" s="240"/>
      <c r="EV125" s="240"/>
      <c r="EW125" s="240"/>
      <c r="EX125" s="238"/>
      <c r="EY125" s="240"/>
      <c r="EZ125" s="240"/>
      <c r="FA125" s="240"/>
      <c r="FB125" s="240"/>
      <c r="FC125" s="240"/>
      <c r="FD125" s="240"/>
      <c r="FE125" s="240"/>
      <c r="FF125" s="240"/>
      <c r="FG125" s="240"/>
      <c r="FH125" s="240"/>
      <c r="FI125" s="240"/>
      <c r="FJ125" s="240"/>
      <c r="FK125" s="240"/>
      <c r="FL125" s="240"/>
      <c r="FM125" s="240"/>
      <c r="FN125" s="240"/>
      <c r="FO125" s="238"/>
      <c r="FP125" s="240"/>
      <c r="FQ125" s="240"/>
      <c r="FR125" s="240"/>
      <c r="FS125" s="240"/>
      <c r="FT125" s="240"/>
      <c r="FU125" s="240"/>
      <c r="FV125" s="240"/>
      <c r="FW125" s="240"/>
      <c r="FX125" s="240"/>
      <c r="FY125" s="240"/>
      <c r="FZ125" s="238"/>
      <c r="GA125" s="240"/>
      <c r="GB125" s="240"/>
      <c r="GC125" s="238"/>
      <c r="GD125" s="240"/>
      <c r="GE125" s="240"/>
      <c r="GF125" s="240"/>
      <c r="GG125" s="240"/>
      <c r="GH125" s="238"/>
      <c r="GI125" s="240"/>
      <c r="GJ125" s="240"/>
      <c r="GK125" s="240"/>
      <c r="GL125" s="240"/>
      <c r="GM125" s="238"/>
      <c r="GN125" s="240"/>
      <c r="GO125" s="240"/>
      <c r="GP125" s="240"/>
      <c r="GQ125" s="240"/>
      <c r="GR125" s="240"/>
      <c r="GS125" s="240"/>
      <c r="GT125" s="240"/>
      <c r="GU125" s="240"/>
      <c r="GV125" s="240"/>
      <c r="GW125" s="240"/>
      <c r="GX125" s="240"/>
      <c r="GY125" s="240"/>
      <c r="GZ125" s="240"/>
      <c r="HA125" s="240"/>
      <c r="HB125" s="240"/>
      <c r="HC125" s="240"/>
      <c r="HD125" s="238"/>
      <c r="HE125" s="240"/>
      <c r="HF125" s="240"/>
      <c r="HG125" s="240"/>
      <c r="HH125" s="240"/>
      <c r="HI125" s="240"/>
      <c r="HJ125" s="238"/>
      <c r="HK125" s="240"/>
      <c r="HL125" s="238"/>
      <c r="HM125" s="241"/>
      <c r="HN125" s="235"/>
      <c r="HO125" s="235"/>
      <c r="HP125" s="235"/>
      <c r="HQ125" s="235"/>
    </row>
    <row r="126" spans="2:225" ht="37.5" hidden="1" outlineLevel="3">
      <c r="B126" s="251" t="s">
        <v>1787</v>
      </c>
      <c r="C126" s="252" t="str">
        <f>IF(E121='3. Dropdowns'!C113,"Hide",IF(E66='3. Dropdowns'!C111,"Hide","Show"))</f>
        <v>Show</v>
      </c>
      <c r="D126" s="283" t="s">
        <v>3224</v>
      </c>
      <c r="E126" s="248"/>
      <c r="F126" s="284" t="str">
        <f>IF(E126='3. Dropdowns'!C115,"","Submittals, Execution")</f>
        <v>Submittals, Execution</v>
      </c>
      <c r="G126" s="268"/>
      <c r="H126" s="238"/>
      <c r="I126" s="239" t="s">
        <v>890</v>
      </c>
      <c r="J126" s="240"/>
      <c r="K126" s="240"/>
      <c r="L126" s="240"/>
      <c r="M126" s="240"/>
      <c r="N126" s="240"/>
      <c r="O126" s="240"/>
      <c r="P126" s="240"/>
      <c r="Q126" s="240"/>
      <c r="R126" s="240"/>
      <c r="S126" s="240"/>
      <c r="T126" s="240" t="s">
        <v>890</v>
      </c>
      <c r="U126" s="240"/>
      <c r="V126" s="240"/>
      <c r="W126" s="240"/>
      <c r="X126" s="238"/>
      <c r="Y126" s="240"/>
      <c r="Z126" s="240"/>
      <c r="AA126" s="240"/>
      <c r="AB126" s="240"/>
      <c r="AC126" s="240"/>
      <c r="AD126" s="240"/>
      <c r="AE126" s="240"/>
      <c r="AF126" s="240"/>
      <c r="AG126" s="240"/>
      <c r="AH126" s="238"/>
      <c r="AI126" s="240"/>
      <c r="AJ126" s="240"/>
      <c r="AK126" s="240"/>
      <c r="AL126" s="240"/>
      <c r="AM126" s="238"/>
      <c r="AN126" s="240"/>
      <c r="AO126" s="240"/>
      <c r="AP126" s="240"/>
      <c r="AQ126" s="238"/>
      <c r="AR126" s="240"/>
      <c r="AS126" s="240"/>
      <c r="AT126" s="240"/>
      <c r="AU126" s="240"/>
      <c r="AV126" s="240"/>
      <c r="AW126" s="240"/>
      <c r="AX126" s="240"/>
      <c r="AY126" s="240"/>
      <c r="AZ126" s="238"/>
      <c r="BA126" s="240"/>
      <c r="BB126" s="240"/>
      <c r="BC126" s="240"/>
      <c r="BD126" s="240"/>
      <c r="BE126" s="240"/>
      <c r="BF126" s="240"/>
      <c r="BG126" s="240"/>
      <c r="BH126" s="240"/>
      <c r="BI126" s="240"/>
      <c r="BJ126" s="240"/>
      <c r="BK126" s="240"/>
      <c r="BL126" s="240"/>
      <c r="BM126" s="240"/>
      <c r="BN126" s="240"/>
      <c r="BO126" s="240"/>
      <c r="BP126" s="238"/>
      <c r="BQ126" s="240"/>
      <c r="BR126" s="240"/>
      <c r="BS126" s="240"/>
      <c r="BT126" s="240"/>
      <c r="BU126" s="240"/>
      <c r="BV126" s="240"/>
      <c r="BW126" s="240"/>
      <c r="BX126" s="240"/>
      <c r="BY126" s="240"/>
      <c r="BZ126" s="240"/>
      <c r="CA126" s="240"/>
      <c r="CB126" s="240"/>
      <c r="CC126" s="240"/>
      <c r="CD126" s="240"/>
      <c r="CE126" s="240"/>
      <c r="CF126" s="238"/>
      <c r="CG126" s="240"/>
      <c r="CH126" s="240"/>
      <c r="CI126" s="240"/>
      <c r="CJ126" s="240"/>
      <c r="CK126" s="240"/>
      <c r="CL126" s="240"/>
      <c r="CM126" s="240"/>
      <c r="CN126" s="240"/>
      <c r="CO126" s="240"/>
      <c r="CP126" s="240"/>
      <c r="CQ126" s="240"/>
      <c r="CR126" s="240"/>
      <c r="CS126" s="238"/>
      <c r="CT126" s="240"/>
      <c r="CU126" s="240"/>
      <c r="CV126" s="240"/>
      <c r="CW126" s="240"/>
      <c r="CX126" s="240"/>
      <c r="CY126" s="240"/>
      <c r="CZ126" s="240"/>
      <c r="DA126" s="240"/>
      <c r="DB126" s="240"/>
      <c r="DC126" s="240"/>
      <c r="DD126" s="240"/>
      <c r="DE126" s="240"/>
      <c r="DF126" s="238"/>
      <c r="DG126" s="240"/>
      <c r="DH126" s="240"/>
      <c r="DI126" s="240"/>
      <c r="DJ126" s="240"/>
      <c r="DK126" s="240"/>
      <c r="DL126" s="240"/>
      <c r="DM126" s="240"/>
      <c r="DN126" s="240"/>
      <c r="DO126" s="240"/>
      <c r="DP126" s="240"/>
      <c r="DQ126" s="240"/>
      <c r="DR126" s="238"/>
      <c r="DS126" s="240"/>
      <c r="DT126" s="240"/>
      <c r="DU126" s="240"/>
      <c r="DV126" s="238"/>
      <c r="DW126" s="240"/>
      <c r="DX126" s="240"/>
      <c r="DY126" s="240"/>
      <c r="DZ126" s="240"/>
      <c r="EA126" s="240"/>
      <c r="EB126" s="240"/>
      <c r="EC126" s="240"/>
      <c r="ED126" s="240"/>
      <c r="EE126" s="240"/>
      <c r="EF126" s="238"/>
      <c r="EG126" s="240"/>
      <c r="EH126" s="240"/>
      <c r="EI126" s="240"/>
      <c r="EJ126" s="238"/>
      <c r="EK126" s="240"/>
      <c r="EL126" s="238"/>
      <c r="EM126" s="240"/>
      <c r="EN126" s="240"/>
      <c r="EO126" s="240"/>
      <c r="EP126" s="240"/>
      <c r="EQ126" s="240"/>
      <c r="ER126" s="240"/>
      <c r="ES126" s="240"/>
      <c r="ET126" s="240"/>
      <c r="EU126" s="240"/>
      <c r="EV126" s="240"/>
      <c r="EW126" s="240"/>
      <c r="EX126" s="238"/>
      <c r="EY126" s="240"/>
      <c r="EZ126" s="240"/>
      <c r="FA126" s="240"/>
      <c r="FB126" s="240"/>
      <c r="FC126" s="240"/>
      <c r="FD126" s="240"/>
      <c r="FE126" s="240"/>
      <c r="FF126" s="240"/>
      <c r="FG126" s="240"/>
      <c r="FH126" s="240"/>
      <c r="FI126" s="240"/>
      <c r="FJ126" s="240"/>
      <c r="FK126" s="240"/>
      <c r="FL126" s="240"/>
      <c r="FM126" s="240"/>
      <c r="FN126" s="240"/>
      <c r="FO126" s="238"/>
      <c r="FP126" s="240"/>
      <c r="FQ126" s="240"/>
      <c r="FR126" s="240"/>
      <c r="FS126" s="240"/>
      <c r="FT126" s="240"/>
      <c r="FU126" s="240"/>
      <c r="FV126" s="240"/>
      <c r="FW126" s="240"/>
      <c r="FX126" s="240"/>
      <c r="FY126" s="240"/>
      <c r="FZ126" s="238"/>
      <c r="GA126" s="240"/>
      <c r="GB126" s="240"/>
      <c r="GC126" s="238"/>
      <c r="GD126" s="240"/>
      <c r="GE126" s="240"/>
      <c r="GF126" s="240"/>
      <c r="GG126" s="240"/>
      <c r="GH126" s="238"/>
      <c r="GI126" s="240"/>
      <c r="GJ126" s="240"/>
      <c r="GK126" s="240"/>
      <c r="GL126" s="240"/>
      <c r="GM126" s="238"/>
      <c r="GN126" s="240"/>
      <c r="GO126" s="240"/>
      <c r="GP126" s="240"/>
      <c r="GQ126" s="240"/>
      <c r="GR126" s="240"/>
      <c r="GS126" s="240"/>
      <c r="GT126" s="240"/>
      <c r="GU126" s="240"/>
      <c r="GV126" s="240"/>
      <c r="GW126" s="240"/>
      <c r="GX126" s="240"/>
      <c r="GY126" s="240"/>
      <c r="GZ126" s="240"/>
      <c r="HA126" s="240"/>
      <c r="HB126" s="240"/>
      <c r="HC126" s="240"/>
      <c r="HD126" s="238"/>
      <c r="HE126" s="240"/>
      <c r="HF126" s="240"/>
      <c r="HG126" s="240"/>
      <c r="HH126" s="240"/>
      <c r="HI126" s="240"/>
      <c r="HJ126" s="238"/>
      <c r="HK126" s="240"/>
      <c r="HL126" s="238"/>
      <c r="HM126" s="241"/>
      <c r="HN126" s="235"/>
      <c r="HO126" s="235"/>
      <c r="HP126" s="235"/>
      <c r="HQ126" s="235"/>
    </row>
    <row r="127" spans="2:225" ht="37.5" hidden="1" outlineLevel="3">
      <c r="B127" s="251" t="s">
        <v>1787</v>
      </c>
      <c r="C127" s="252" t="str">
        <f>IF(E121='3. Dropdowns'!C113,"Hide",IF(E66='3. Dropdowns'!C111,"Hide","Show"))</f>
        <v>Show</v>
      </c>
      <c r="D127" s="283" t="s">
        <v>3225</v>
      </c>
      <c r="E127" s="248"/>
      <c r="F127" s="284" t="str">
        <f>IF(E127='3. Dropdowns'!C115,"","Submittals, Execution")</f>
        <v>Submittals, Execution</v>
      </c>
      <c r="G127" s="268"/>
      <c r="H127" s="238"/>
      <c r="I127" s="239" t="s">
        <v>890</v>
      </c>
      <c r="J127" s="240"/>
      <c r="K127" s="240"/>
      <c r="L127" s="240"/>
      <c r="M127" s="240"/>
      <c r="N127" s="240"/>
      <c r="O127" s="240"/>
      <c r="P127" s="240"/>
      <c r="Q127" s="240"/>
      <c r="R127" s="240"/>
      <c r="S127" s="240"/>
      <c r="T127" s="240" t="s">
        <v>890</v>
      </c>
      <c r="U127" s="240"/>
      <c r="V127" s="240"/>
      <c r="W127" s="240"/>
      <c r="X127" s="238"/>
      <c r="Y127" s="240"/>
      <c r="Z127" s="240"/>
      <c r="AA127" s="240"/>
      <c r="AB127" s="240"/>
      <c r="AC127" s="240"/>
      <c r="AD127" s="240"/>
      <c r="AE127" s="240"/>
      <c r="AF127" s="240"/>
      <c r="AG127" s="240"/>
      <c r="AH127" s="238"/>
      <c r="AI127" s="240"/>
      <c r="AJ127" s="240"/>
      <c r="AK127" s="240"/>
      <c r="AL127" s="240"/>
      <c r="AM127" s="238"/>
      <c r="AN127" s="240"/>
      <c r="AO127" s="240"/>
      <c r="AP127" s="240"/>
      <c r="AQ127" s="238"/>
      <c r="AR127" s="240"/>
      <c r="AS127" s="240"/>
      <c r="AT127" s="240"/>
      <c r="AU127" s="240"/>
      <c r="AV127" s="240"/>
      <c r="AW127" s="240"/>
      <c r="AX127" s="240"/>
      <c r="AY127" s="240"/>
      <c r="AZ127" s="238"/>
      <c r="BA127" s="240"/>
      <c r="BB127" s="240"/>
      <c r="BC127" s="240"/>
      <c r="BD127" s="240"/>
      <c r="BE127" s="240" t="s">
        <v>890</v>
      </c>
      <c r="BF127" s="240"/>
      <c r="BG127" s="240"/>
      <c r="BH127" s="240"/>
      <c r="BI127" s="240"/>
      <c r="BJ127" s="240"/>
      <c r="BK127" s="240"/>
      <c r="BL127" s="240"/>
      <c r="BM127" s="240"/>
      <c r="BN127" s="240"/>
      <c r="BO127" s="240"/>
      <c r="BP127" s="238"/>
      <c r="BQ127" s="240"/>
      <c r="BR127" s="240"/>
      <c r="BS127" s="240"/>
      <c r="BT127" s="240"/>
      <c r="BU127" s="240"/>
      <c r="BV127" s="240"/>
      <c r="BW127" s="240"/>
      <c r="BX127" s="240"/>
      <c r="BY127" s="240"/>
      <c r="BZ127" s="240"/>
      <c r="CA127" s="240"/>
      <c r="CB127" s="240"/>
      <c r="CC127" s="240"/>
      <c r="CD127" s="240"/>
      <c r="CE127" s="240"/>
      <c r="CF127" s="238"/>
      <c r="CG127" s="240"/>
      <c r="CH127" s="240"/>
      <c r="CI127" s="240"/>
      <c r="CJ127" s="240"/>
      <c r="CK127" s="240"/>
      <c r="CL127" s="240"/>
      <c r="CM127" s="240"/>
      <c r="CN127" s="240"/>
      <c r="CO127" s="240"/>
      <c r="CP127" s="240"/>
      <c r="CQ127" s="240"/>
      <c r="CR127" s="240"/>
      <c r="CS127" s="238"/>
      <c r="CT127" s="240"/>
      <c r="CU127" s="240"/>
      <c r="CV127" s="240"/>
      <c r="CW127" s="240"/>
      <c r="CX127" s="240"/>
      <c r="CY127" s="240"/>
      <c r="CZ127" s="240"/>
      <c r="DA127" s="240"/>
      <c r="DB127" s="240"/>
      <c r="DC127" s="240"/>
      <c r="DD127" s="240"/>
      <c r="DE127" s="240"/>
      <c r="DF127" s="238"/>
      <c r="DG127" s="240"/>
      <c r="DH127" s="240"/>
      <c r="DI127" s="240"/>
      <c r="DJ127" s="240"/>
      <c r="DK127" s="240"/>
      <c r="DL127" s="240"/>
      <c r="DM127" s="240"/>
      <c r="DN127" s="240"/>
      <c r="DO127" s="240"/>
      <c r="DP127" s="240"/>
      <c r="DQ127" s="240"/>
      <c r="DR127" s="238"/>
      <c r="DS127" s="240"/>
      <c r="DT127" s="240"/>
      <c r="DU127" s="240"/>
      <c r="DV127" s="238"/>
      <c r="DW127" s="240"/>
      <c r="DX127" s="240"/>
      <c r="DY127" s="240"/>
      <c r="DZ127" s="240"/>
      <c r="EA127" s="240"/>
      <c r="EB127" s="240"/>
      <c r="EC127" s="240"/>
      <c r="ED127" s="240"/>
      <c r="EE127" s="240"/>
      <c r="EF127" s="238"/>
      <c r="EG127" s="240"/>
      <c r="EH127" s="240"/>
      <c r="EI127" s="240"/>
      <c r="EJ127" s="238"/>
      <c r="EK127" s="240"/>
      <c r="EL127" s="238"/>
      <c r="EM127" s="240"/>
      <c r="EN127" s="240"/>
      <c r="EO127" s="240"/>
      <c r="EP127" s="240"/>
      <c r="EQ127" s="240"/>
      <c r="ER127" s="240"/>
      <c r="ES127" s="240"/>
      <c r="ET127" s="240"/>
      <c r="EU127" s="240"/>
      <c r="EV127" s="240"/>
      <c r="EW127" s="240"/>
      <c r="EX127" s="238"/>
      <c r="EY127" s="240"/>
      <c r="EZ127" s="240"/>
      <c r="FA127" s="240"/>
      <c r="FB127" s="240"/>
      <c r="FC127" s="240"/>
      <c r="FD127" s="240"/>
      <c r="FE127" s="240"/>
      <c r="FF127" s="240"/>
      <c r="FG127" s="240"/>
      <c r="FH127" s="240"/>
      <c r="FI127" s="240"/>
      <c r="FJ127" s="240"/>
      <c r="FK127" s="240"/>
      <c r="FL127" s="240"/>
      <c r="FM127" s="240"/>
      <c r="FN127" s="240"/>
      <c r="FO127" s="238"/>
      <c r="FP127" s="240"/>
      <c r="FQ127" s="240"/>
      <c r="FR127" s="240"/>
      <c r="FS127" s="240"/>
      <c r="FT127" s="240"/>
      <c r="FU127" s="240"/>
      <c r="FV127" s="240"/>
      <c r="FW127" s="240"/>
      <c r="FX127" s="240"/>
      <c r="FY127" s="240"/>
      <c r="FZ127" s="238"/>
      <c r="GA127" s="240"/>
      <c r="GB127" s="240"/>
      <c r="GC127" s="238"/>
      <c r="GD127" s="240"/>
      <c r="GE127" s="240"/>
      <c r="GF127" s="240"/>
      <c r="GG127" s="240"/>
      <c r="GH127" s="238"/>
      <c r="GI127" s="240"/>
      <c r="GJ127" s="240"/>
      <c r="GK127" s="240"/>
      <c r="GL127" s="240"/>
      <c r="GM127" s="238"/>
      <c r="GN127" s="240"/>
      <c r="GO127" s="240"/>
      <c r="GP127" s="240"/>
      <c r="GQ127" s="240"/>
      <c r="GR127" s="240"/>
      <c r="GS127" s="240"/>
      <c r="GT127" s="240"/>
      <c r="GU127" s="240"/>
      <c r="GV127" s="240"/>
      <c r="GW127" s="240"/>
      <c r="GX127" s="240"/>
      <c r="GY127" s="240"/>
      <c r="GZ127" s="240"/>
      <c r="HA127" s="240"/>
      <c r="HB127" s="240"/>
      <c r="HC127" s="240"/>
      <c r="HD127" s="238"/>
      <c r="HE127" s="240"/>
      <c r="HF127" s="240"/>
      <c r="HG127" s="240"/>
      <c r="HH127" s="240"/>
      <c r="HI127" s="240"/>
      <c r="HJ127" s="238"/>
      <c r="HK127" s="240"/>
      <c r="HL127" s="238"/>
      <c r="HM127" s="241"/>
      <c r="HN127" s="235"/>
      <c r="HO127" s="235"/>
      <c r="HP127" s="235"/>
      <c r="HQ127" s="235"/>
    </row>
    <row r="128" spans="2:225" hidden="1" outlineLevel="2" collapsed="1">
      <c r="B128" s="251" t="s">
        <v>713</v>
      </c>
      <c r="C128" s="252" t="str">
        <f>IF(E66='3. Dropdowns'!C111,"Hide","Show")</f>
        <v>Show</v>
      </c>
      <c r="D128" s="283" t="s">
        <v>3385</v>
      </c>
      <c r="E128" s="248"/>
      <c r="F128" s="284" t="str">
        <f>IF(E128='3. Dropdowns'!C113,"","Submittals, Execution")</f>
        <v>Submittals, Execution</v>
      </c>
      <c r="G128" s="268"/>
      <c r="H128" s="238"/>
      <c r="I128" s="239" t="s">
        <v>890</v>
      </c>
      <c r="J128" s="240"/>
      <c r="K128" s="240"/>
      <c r="L128" s="240"/>
      <c r="M128" s="240"/>
      <c r="N128" s="240"/>
      <c r="O128" s="240"/>
      <c r="P128" s="240"/>
      <c r="Q128" s="240"/>
      <c r="R128" s="240"/>
      <c r="S128" s="240"/>
      <c r="T128" s="240" t="s">
        <v>890</v>
      </c>
      <c r="U128" s="240"/>
      <c r="V128" s="240"/>
      <c r="W128" s="240"/>
      <c r="X128" s="238"/>
      <c r="Y128" s="240"/>
      <c r="Z128" s="240"/>
      <c r="AA128" s="240"/>
      <c r="AB128" s="240"/>
      <c r="AC128" s="240"/>
      <c r="AD128" s="240"/>
      <c r="AE128" s="240"/>
      <c r="AF128" s="240"/>
      <c r="AG128" s="240"/>
      <c r="AH128" s="238"/>
      <c r="AI128" s="240"/>
      <c r="AJ128" s="240"/>
      <c r="AK128" s="240"/>
      <c r="AL128" s="240"/>
      <c r="AM128" s="238"/>
      <c r="AN128" s="240" t="s">
        <v>890</v>
      </c>
      <c r="AO128" s="240"/>
      <c r="AP128" s="240"/>
      <c r="AQ128" s="238"/>
      <c r="AR128" s="240"/>
      <c r="AS128" s="240"/>
      <c r="AT128" s="240"/>
      <c r="AU128" s="240"/>
      <c r="AV128" s="240"/>
      <c r="AW128" s="240"/>
      <c r="AX128" s="240"/>
      <c r="AY128" s="240"/>
      <c r="AZ128" s="238"/>
      <c r="BA128" s="240" t="s">
        <v>890</v>
      </c>
      <c r="BB128" s="240"/>
      <c r="BC128" s="240"/>
      <c r="BD128" s="240"/>
      <c r="BE128" s="240" t="s">
        <v>890</v>
      </c>
      <c r="BF128" s="240"/>
      <c r="BG128" s="240"/>
      <c r="BH128" s="240"/>
      <c r="BI128" s="240"/>
      <c r="BJ128" s="240"/>
      <c r="BK128" s="240"/>
      <c r="BL128" s="240"/>
      <c r="BM128" s="240"/>
      <c r="BN128" s="240"/>
      <c r="BO128" s="240"/>
      <c r="BP128" s="238"/>
      <c r="BQ128" s="240"/>
      <c r="BR128" s="240"/>
      <c r="BS128" s="240"/>
      <c r="BT128" s="240"/>
      <c r="BU128" s="240"/>
      <c r="BV128" s="240"/>
      <c r="BW128" s="240"/>
      <c r="BX128" s="240"/>
      <c r="BY128" s="240"/>
      <c r="BZ128" s="240"/>
      <c r="CA128" s="240"/>
      <c r="CB128" s="240"/>
      <c r="CC128" s="240"/>
      <c r="CD128" s="240"/>
      <c r="CE128" s="240"/>
      <c r="CF128" s="238"/>
      <c r="CG128" s="240"/>
      <c r="CH128" s="240"/>
      <c r="CI128" s="240"/>
      <c r="CJ128" s="240"/>
      <c r="CK128" s="240"/>
      <c r="CL128" s="240"/>
      <c r="CM128" s="240"/>
      <c r="CN128" s="240"/>
      <c r="CO128" s="240"/>
      <c r="CP128" s="240"/>
      <c r="CQ128" s="240"/>
      <c r="CR128" s="240"/>
      <c r="CS128" s="238"/>
      <c r="CT128" s="240"/>
      <c r="CU128" s="240"/>
      <c r="CV128" s="240"/>
      <c r="CW128" s="240"/>
      <c r="CX128" s="240"/>
      <c r="CY128" s="240"/>
      <c r="CZ128" s="240"/>
      <c r="DA128" s="240"/>
      <c r="DB128" s="240"/>
      <c r="DC128" s="240"/>
      <c r="DD128" s="240"/>
      <c r="DE128" s="240"/>
      <c r="DF128" s="238"/>
      <c r="DG128" s="240"/>
      <c r="DH128" s="240"/>
      <c r="DI128" s="240"/>
      <c r="DJ128" s="240"/>
      <c r="DK128" s="240"/>
      <c r="DL128" s="240"/>
      <c r="DM128" s="240"/>
      <c r="DN128" s="240"/>
      <c r="DO128" s="240"/>
      <c r="DP128" s="240"/>
      <c r="DQ128" s="240"/>
      <c r="DR128" s="238"/>
      <c r="DS128" s="240"/>
      <c r="DT128" s="240"/>
      <c r="DU128" s="240"/>
      <c r="DV128" s="238"/>
      <c r="DW128" s="240"/>
      <c r="DX128" s="240"/>
      <c r="DY128" s="240"/>
      <c r="DZ128" s="240"/>
      <c r="EA128" s="240"/>
      <c r="EB128" s="240"/>
      <c r="EC128" s="240"/>
      <c r="ED128" s="240"/>
      <c r="EE128" s="240"/>
      <c r="EF128" s="238"/>
      <c r="EG128" s="240"/>
      <c r="EH128" s="240"/>
      <c r="EI128" s="240"/>
      <c r="EJ128" s="238"/>
      <c r="EK128" s="240"/>
      <c r="EL128" s="238"/>
      <c r="EM128" s="240"/>
      <c r="EN128" s="240"/>
      <c r="EO128" s="240"/>
      <c r="EP128" s="240"/>
      <c r="EQ128" s="240"/>
      <c r="ER128" s="240"/>
      <c r="ES128" s="240"/>
      <c r="ET128" s="240"/>
      <c r="EU128" s="240"/>
      <c r="EV128" s="240"/>
      <c r="EW128" s="240"/>
      <c r="EX128" s="238"/>
      <c r="EY128" s="240"/>
      <c r="EZ128" s="240"/>
      <c r="FA128" s="240"/>
      <c r="FB128" s="240"/>
      <c r="FC128" s="240"/>
      <c r="FD128" s="240"/>
      <c r="FE128" s="240"/>
      <c r="FF128" s="240"/>
      <c r="FG128" s="240"/>
      <c r="FH128" s="240" t="s">
        <v>890</v>
      </c>
      <c r="FI128" s="240"/>
      <c r="FJ128" s="240"/>
      <c r="FK128" s="240"/>
      <c r="FL128" s="240"/>
      <c r="FM128" s="240"/>
      <c r="FN128" s="240"/>
      <c r="FO128" s="238"/>
      <c r="FP128" s="240"/>
      <c r="FQ128" s="240"/>
      <c r="FR128" s="240"/>
      <c r="FS128" s="240"/>
      <c r="FT128" s="240"/>
      <c r="FU128" s="240"/>
      <c r="FV128" s="240"/>
      <c r="FW128" s="240"/>
      <c r="FX128" s="240"/>
      <c r="FY128" s="240"/>
      <c r="FZ128" s="238"/>
      <c r="GA128" s="240"/>
      <c r="GB128" s="240"/>
      <c r="GC128" s="238"/>
      <c r="GD128" s="240"/>
      <c r="GE128" s="240"/>
      <c r="GF128" s="240"/>
      <c r="GG128" s="240"/>
      <c r="GH128" s="238"/>
      <c r="GI128" s="240"/>
      <c r="GJ128" s="240"/>
      <c r="GK128" s="240"/>
      <c r="GL128" s="240"/>
      <c r="GM128" s="238"/>
      <c r="GN128" s="240"/>
      <c r="GO128" s="240"/>
      <c r="GP128" s="240"/>
      <c r="GQ128" s="240"/>
      <c r="GR128" s="240"/>
      <c r="GS128" s="240"/>
      <c r="GT128" s="240"/>
      <c r="GU128" s="240"/>
      <c r="GV128" s="240"/>
      <c r="GW128" s="240"/>
      <c r="GX128" s="240"/>
      <c r="GY128" s="240"/>
      <c r="GZ128" s="240"/>
      <c r="HA128" s="240"/>
      <c r="HB128" s="240"/>
      <c r="HC128" s="240"/>
      <c r="HD128" s="238"/>
      <c r="HE128" s="240"/>
      <c r="HF128" s="240"/>
      <c r="HG128" s="240"/>
      <c r="HH128" s="240"/>
      <c r="HI128" s="240"/>
      <c r="HJ128" s="238"/>
      <c r="HK128" s="240"/>
      <c r="HL128" s="238"/>
      <c r="HM128" s="241"/>
      <c r="HN128" s="235"/>
      <c r="HO128" s="235"/>
      <c r="HP128" s="235"/>
      <c r="HQ128" s="235"/>
    </row>
    <row r="129" spans="2:225" ht="37.5" hidden="1" outlineLevel="3">
      <c r="B129" s="251" t="s">
        <v>1788</v>
      </c>
      <c r="C129" s="252" t="str">
        <f>IF(E128='3. Dropdowns'!C113,"Hide",IF(E66='3. Dropdowns'!C111,"Hide","Show"))</f>
        <v>Show</v>
      </c>
      <c r="D129" s="283" t="s">
        <v>3226</v>
      </c>
      <c r="E129" s="248"/>
      <c r="F129" s="284" t="str">
        <f>IF(E129='3. Dropdowns'!C115,"","Execution")</f>
        <v>Execution</v>
      </c>
      <c r="G129" s="268"/>
      <c r="H129" s="238"/>
      <c r="I129" s="239" t="s">
        <v>890</v>
      </c>
      <c r="J129" s="240"/>
      <c r="K129" s="240"/>
      <c r="L129" s="240"/>
      <c r="M129" s="240"/>
      <c r="N129" s="240"/>
      <c r="O129" s="240"/>
      <c r="P129" s="240"/>
      <c r="Q129" s="240"/>
      <c r="R129" s="240"/>
      <c r="S129" s="240"/>
      <c r="T129" s="240" t="s">
        <v>890</v>
      </c>
      <c r="U129" s="240"/>
      <c r="V129" s="240"/>
      <c r="W129" s="240"/>
      <c r="X129" s="238"/>
      <c r="Y129" s="240"/>
      <c r="Z129" s="240"/>
      <c r="AA129" s="240"/>
      <c r="AB129" s="240"/>
      <c r="AC129" s="240"/>
      <c r="AD129" s="240"/>
      <c r="AE129" s="240"/>
      <c r="AF129" s="240"/>
      <c r="AG129" s="240"/>
      <c r="AH129" s="238"/>
      <c r="AI129" s="240"/>
      <c r="AJ129" s="240"/>
      <c r="AK129" s="240"/>
      <c r="AL129" s="240"/>
      <c r="AM129" s="238"/>
      <c r="AN129" s="240" t="s">
        <v>890</v>
      </c>
      <c r="AO129" s="240"/>
      <c r="AP129" s="240"/>
      <c r="AQ129" s="238"/>
      <c r="AR129" s="240"/>
      <c r="AS129" s="240"/>
      <c r="AT129" s="240"/>
      <c r="AU129" s="240"/>
      <c r="AV129" s="240"/>
      <c r="AW129" s="240"/>
      <c r="AX129" s="240"/>
      <c r="AY129" s="240"/>
      <c r="AZ129" s="238"/>
      <c r="BA129" s="240" t="s">
        <v>890</v>
      </c>
      <c r="BB129" s="240"/>
      <c r="BC129" s="240"/>
      <c r="BD129" s="240"/>
      <c r="BE129" s="240" t="s">
        <v>890</v>
      </c>
      <c r="BF129" s="240"/>
      <c r="BG129" s="240"/>
      <c r="BH129" s="240"/>
      <c r="BI129" s="240"/>
      <c r="BJ129" s="240"/>
      <c r="BK129" s="240"/>
      <c r="BL129" s="240"/>
      <c r="BM129" s="240"/>
      <c r="BN129" s="240"/>
      <c r="BO129" s="240"/>
      <c r="BP129" s="238"/>
      <c r="BQ129" s="240"/>
      <c r="BR129" s="240"/>
      <c r="BS129" s="240"/>
      <c r="BT129" s="240"/>
      <c r="BU129" s="240"/>
      <c r="BV129" s="240"/>
      <c r="BW129" s="240"/>
      <c r="BX129" s="240"/>
      <c r="BY129" s="240"/>
      <c r="BZ129" s="240"/>
      <c r="CA129" s="240"/>
      <c r="CB129" s="240"/>
      <c r="CC129" s="240"/>
      <c r="CD129" s="240"/>
      <c r="CE129" s="240"/>
      <c r="CF129" s="238"/>
      <c r="CG129" s="240"/>
      <c r="CH129" s="240"/>
      <c r="CI129" s="240"/>
      <c r="CJ129" s="240"/>
      <c r="CK129" s="240"/>
      <c r="CL129" s="240"/>
      <c r="CM129" s="240"/>
      <c r="CN129" s="240"/>
      <c r="CO129" s="240"/>
      <c r="CP129" s="240"/>
      <c r="CQ129" s="240"/>
      <c r="CR129" s="240"/>
      <c r="CS129" s="238"/>
      <c r="CT129" s="240"/>
      <c r="CU129" s="240"/>
      <c r="CV129" s="240"/>
      <c r="CW129" s="240"/>
      <c r="CX129" s="240"/>
      <c r="CY129" s="240"/>
      <c r="CZ129" s="240"/>
      <c r="DA129" s="240"/>
      <c r="DB129" s="240"/>
      <c r="DC129" s="240"/>
      <c r="DD129" s="240"/>
      <c r="DE129" s="240"/>
      <c r="DF129" s="238"/>
      <c r="DG129" s="240"/>
      <c r="DH129" s="240"/>
      <c r="DI129" s="240"/>
      <c r="DJ129" s="240"/>
      <c r="DK129" s="240"/>
      <c r="DL129" s="240"/>
      <c r="DM129" s="240"/>
      <c r="DN129" s="240"/>
      <c r="DO129" s="240"/>
      <c r="DP129" s="240"/>
      <c r="DQ129" s="240"/>
      <c r="DR129" s="238"/>
      <c r="DS129" s="240"/>
      <c r="DT129" s="240"/>
      <c r="DU129" s="240"/>
      <c r="DV129" s="238"/>
      <c r="DW129" s="240"/>
      <c r="DX129" s="240"/>
      <c r="DY129" s="240"/>
      <c r="DZ129" s="240"/>
      <c r="EA129" s="240"/>
      <c r="EB129" s="240"/>
      <c r="EC129" s="240"/>
      <c r="ED129" s="240"/>
      <c r="EE129" s="240"/>
      <c r="EF129" s="238"/>
      <c r="EG129" s="240"/>
      <c r="EH129" s="240"/>
      <c r="EI129" s="240"/>
      <c r="EJ129" s="238"/>
      <c r="EK129" s="240"/>
      <c r="EL129" s="238"/>
      <c r="EM129" s="240"/>
      <c r="EN129" s="240"/>
      <c r="EO129" s="240"/>
      <c r="EP129" s="240"/>
      <c r="EQ129" s="240"/>
      <c r="ER129" s="240"/>
      <c r="ES129" s="240"/>
      <c r="ET129" s="240"/>
      <c r="EU129" s="240"/>
      <c r="EV129" s="240"/>
      <c r="EW129" s="240"/>
      <c r="EX129" s="238"/>
      <c r="EY129" s="240"/>
      <c r="EZ129" s="240"/>
      <c r="FA129" s="240"/>
      <c r="FB129" s="240"/>
      <c r="FC129" s="240"/>
      <c r="FD129" s="240"/>
      <c r="FE129" s="240"/>
      <c r="FF129" s="240"/>
      <c r="FG129" s="240"/>
      <c r="FH129" s="240" t="s">
        <v>890</v>
      </c>
      <c r="FI129" s="240"/>
      <c r="FJ129" s="240"/>
      <c r="FK129" s="240"/>
      <c r="FL129" s="240"/>
      <c r="FM129" s="240"/>
      <c r="FN129" s="240"/>
      <c r="FO129" s="238"/>
      <c r="FP129" s="240"/>
      <c r="FQ129" s="240"/>
      <c r="FR129" s="240"/>
      <c r="FS129" s="240"/>
      <c r="FT129" s="240"/>
      <c r="FU129" s="240"/>
      <c r="FV129" s="240"/>
      <c r="FW129" s="240"/>
      <c r="FX129" s="240"/>
      <c r="FY129" s="240"/>
      <c r="FZ129" s="238"/>
      <c r="GA129" s="240"/>
      <c r="GB129" s="240"/>
      <c r="GC129" s="238"/>
      <c r="GD129" s="240"/>
      <c r="GE129" s="240"/>
      <c r="GF129" s="240"/>
      <c r="GG129" s="240"/>
      <c r="GH129" s="238"/>
      <c r="GI129" s="240"/>
      <c r="GJ129" s="240"/>
      <c r="GK129" s="240"/>
      <c r="GL129" s="240"/>
      <c r="GM129" s="238"/>
      <c r="GN129" s="240"/>
      <c r="GO129" s="240"/>
      <c r="GP129" s="240"/>
      <c r="GQ129" s="240"/>
      <c r="GR129" s="240"/>
      <c r="GS129" s="240"/>
      <c r="GT129" s="240"/>
      <c r="GU129" s="240"/>
      <c r="GV129" s="240"/>
      <c r="GW129" s="240"/>
      <c r="GX129" s="240"/>
      <c r="GY129" s="240"/>
      <c r="GZ129" s="240"/>
      <c r="HA129" s="240"/>
      <c r="HB129" s="240"/>
      <c r="HC129" s="240"/>
      <c r="HD129" s="238"/>
      <c r="HE129" s="240"/>
      <c r="HF129" s="240"/>
      <c r="HG129" s="240"/>
      <c r="HH129" s="240"/>
      <c r="HI129" s="240"/>
      <c r="HJ129" s="238"/>
      <c r="HK129" s="240"/>
      <c r="HL129" s="238"/>
      <c r="HM129" s="241"/>
      <c r="HN129" s="235"/>
      <c r="HO129" s="235"/>
      <c r="HP129" s="235"/>
      <c r="HQ129" s="235"/>
    </row>
    <row r="130" spans="2:225" ht="37.5" hidden="1" outlineLevel="3">
      <c r="B130" s="251" t="s">
        <v>1788</v>
      </c>
      <c r="C130" s="252" t="str">
        <f>IF(E128='3. Dropdowns'!C113,"Hide",IF(E66='3. Dropdowns'!C111,"Hide","Show"))</f>
        <v>Show</v>
      </c>
      <c r="D130" s="283" t="s">
        <v>3386</v>
      </c>
      <c r="E130" s="248"/>
      <c r="F130" s="284" t="str">
        <f>IF(E130='3. Dropdowns'!C115,"","Submittals, Execution")</f>
        <v>Submittals, Execution</v>
      </c>
      <c r="G130" s="268"/>
      <c r="H130" s="238"/>
      <c r="I130" s="239" t="s">
        <v>890</v>
      </c>
      <c r="J130" s="240"/>
      <c r="K130" s="240"/>
      <c r="L130" s="240"/>
      <c r="M130" s="240"/>
      <c r="N130" s="240"/>
      <c r="O130" s="240"/>
      <c r="P130" s="240"/>
      <c r="Q130" s="240"/>
      <c r="R130" s="240"/>
      <c r="S130" s="240"/>
      <c r="T130" s="240" t="s">
        <v>890</v>
      </c>
      <c r="U130" s="240"/>
      <c r="V130" s="240"/>
      <c r="W130" s="240"/>
      <c r="X130" s="238"/>
      <c r="Y130" s="240"/>
      <c r="Z130" s="240"/>
      <c r="AA130" s="240"/>
      <c r="AB130" s="240"/>
      <c r="AC130" s="240"/>
      <c r="AD130" s="240"/>
      <c r="AE130" s="240"/>
      <c r="AF130" s="240"/>
      <c r="AG130" s="240"/>
      <c r="AH130" s="238"/>
      <c r="AI130" s="240"/>
      <c r="AJ130" s="240"/>
      <c r="AK130" s="240"/>
      <c r="AL130" s="240"/>
      <c r="AM130" s="238"/>
      <c r="AN130" s="240"/>
      <c r="AO130" s="240"/>
      <c r="AP130" s="240"/>
      <c r="AQ130" s="238"/>
      <c r="AR130" s="240"/>
      <c r="AS130" s="240"/>
      <c r="AT130" s="240"/>
      <c r="AU130" s="240"/>
      <c r="AV130" s="240"/>
      <c r="AW130" s="240"/>
      <c r="AX130" s="240"/>
      <c r="AY130" s="240"/>
      <c r="AZ130" s="238"/>
      <c r="BA130" s="240"/>
      <c r="BB130" s="240"/>
      <c r="BC130" s="240"/>
      <c r="BD130" s="240"/>
      <c r="BE130" s="240"/>
      <c r="BF130" s="240"/>
      <c r="BG130" s="240"/>
      <c r="BH130" s="240"/>
      <c r="BI130" s="240"/>
      <c r="BJ130" s="240"/>
      <c r="BK130" s="240"/>
      <c r="BL130" s="240"/>
      <c r="BM130" s="240"/>
      <c r="BN130" s="240"/>
      <c r="BO130" s="240"/>
      <c r="BP130" s="238"/>
      <c r="BQ130" s="240"/>
      <c r="BR130" s="240"/>
      <c r="BS130" s="240"/>
      <c r="BT130" s="240"/>
      <c r="BU130" s="240"/>
      <c r="BV130" s="240"/>
      <c r="BW130" s="240"/>
      <c r="BX130" s="240"/>
      <c r="BY130" s="240"/>
      <c r="BZ130" s="240"/>
      <c r="CA130" s="240"/>
      <c r="CB130" s="240"/>
      <c r="CC130" s="240"/>
      <c r="CD130" s="240"/>
      <c r="CE130" s="240"/>
      <c r="CF130" s="238"/>
      <c r="CG130" s="240"/>
      <c r="CH130" s="240"/>
      <c r="CI130" s="240"/>
      <c r="CJ130" s="240"/>
      <c r="CK130" s="240"/>
      <c r="CL130" s="240"/>
      <c r="CM130" s="240"/>
      <c r="CN130" s="240"/>
      <c r="CO130" s="240"/>
      <c r="CP130" s="240"/>
      <c r="CQ130" s="240"/>
      <c r="CR130" s="240"/>
      <c r="CS130" s="238"/>
      <c r="CT130" s="240"/>
      <c r="CU130" s="240"/>
      <c r="CV130" s="240"/>
      <c r="CW130" s="240"/>
      <c r="CX130" s="240"/>
      <c r="CY130" s="240"/>
      <c r="CZ130" s="240"/>
      <c r="DA130" s="240"/>
      <c r="DB130" s="240"/>
      <c r="DC130" s="240"/>
      <c r="DD130" s="240"/>
      <c r="DE130" s="240"/>
      <c r="DF130" s="238"/>
      <c r="DG130" s="240"/>
      <c r="DH130" s="240"/>
      <c r="DI130" s="240"/>
      <c r="DJ130" s="240"/>
      <c r="DK130" s="240"/>
      <c r="DL130" s="240"/>
      <c r="DM130" s="240"/>
      <c r="DN130" s="240"/>
      <c r="DO130" s="240"/>
      <c r="DP130" s="240"/>
      <c r="DQ130" s="240"/>
      <c r="DR130" s="238"/>
      <c r="DS130" s="240"/>
      <c r="DT130" s="240"/>
      <c r="DU130" s="240"/>
      <c r="DV130" s="238"/>
      <c r="DW130" s="240"/>
      <c r="DX130" s="240"/>
      <c r="DY130" s="240"/>
      <c r="DZ130" s="240"/>
      <c r="EA130" s="240"/>
      <c r="EB130" s="240"/>
      <c r="EC130" s="240"/>
      <c r="ED130" s="240"/>
      <c r="EE130" s="240"/>
      <c r="EF130" s="238"/>
      <c r="EG130" s="240"/>
      <c r="EH130" s="240"/>
      <c r="EI130" s="240"/>
      <c r="EJ130" s="238"/>
      <c r="EK130" s="240"/>
      <c r="EL130" s="238"/>
      <c r="EM130" s="240"/>
      <c r="EN130" s="240"/>
      <c r="EO130" s="240"/>
      <c r="EP130" s="240"/>
      <c r="EQ130" s="240"/>
      <c r="ER130" s="240"/>
      <c r="ES130" s="240"/>
      <c r="ET130" s="240"/>
      <c r="EU130" s="240"/>
      <c r="EV130" s="240"/>
      <c r="EW130" s="240"/>
      <c r="EX130" s="238"/>
      <c r="EY130" s="240"/>
      <c r="EZ130" s="240"/>
      <c r="FA130" s="240"/>
      <c r="FB130" s="240"/>
      <c r="FC130" s="240"/>
      <c r="FD130" s="240"/>
      <c r="FE130" s="240"/>
      <c r="FF130" s="240"/>
      <c r="FG130" s="240"/>
      <c r="FH130" s="240" t="s">
        <v>890</v>
      </c>
      <c r="FI130" s="240"/>
      <c r="FJ130" s="240"/>
      <c r="FK130" s="240"/>
      <c r="FL130" s="240"/>
      <c r="FM130" s="240"/>
      <c r="FN130" s="240"/>
      <c r="FO130" s="238"/>
      <c r="FP130" s="240"/>
      <c r="FQ130" s="240"/>
      <c r="FR130" s="240"/>
      <c r="FS130" s="240"/>
      <c r="FT130" s="240"/>
      <c r="FU130" s="240"/>
      <c r="FV130" s="240"/>
      <c r="FW130" s="240"/>
      <c r="FX130" s="240"/>
      <c r="FY130" s="240"/>
      <c r="FZ130" s="238"/>
      <c r="GA130" s="240"/>
      <c r="GB130" s="240"/>
      <c r="GC130" s="238"/>
      <c r="GD130" s="240"/>
      <c r="GE130" s="240"/>
      <c r="GF130" s="240"/>
      <c r="GG130" s="240"/>
      <c r="GH130" s="238"/>
      <c r="GI130" s="240"/>
      <c r="GJ130" s="240"/>
      <c r="GK130" s="240"/>
      <c r="GL130" s="240"/>
      <c r="GM130" s="238"/>
      <c r="GN130" s="240"/>
      <c r="GO130" s="240"/>
      <c r="GP130" s="240"/>
      <c r="GQ130" s="240"/>
      <c r="GR130" s="240"/>
      <c r="GS130" s="240"/>
      <c r="GT130" s="240"/>
      <c r="GU130" s="240"/>
      <c r="GV130" s="240"/>
      <c r="GW130" s="240"/>
      <c r="GX130" s="240"/>
      <c r="GY130" s="240"/>
      <c r="GZ130" s="240"/>
      <c r="HA130" s="240"/>
      <c r="HB130" s="240"/>
      <c r="HC130" s="240"/>
      <c r="HD130" s="238"/>
      <c r="HE130" s="240"/>
      <c r="HF130" s="240"/>
      <c r="HG130" s="240"/>
      <c r="HH130" s="240"/>
      <c r="HI130" s="240"/>
      <c r="HJ130" s="238"/>
      <c r="HK130" s="240"/>
      <c r="HL130" s="238"/>
      <c r="HM130" s="241"/>
      <c r="HN130" s="235"/>
      <c r="HO130" s="235"/>
      <c r="HP130" s="235"/>
      <c r="HQ130" s="235"/>
    </row>
    <row r="131" spans="2:225" ht="37.5" hidden="1" outlineLevel="3">
      <c r="B131" s="251" t="s">
        <v>1788</v>
      </c>
      <c r="C131" s="252" t="str">
        <f>IF(E128='3. Dropdowns'!C113,"Hide",IF(E66='3. Dropdowns'!C111,"Hide","Show"))</f>
        <v>Show</v>
      </c>
      <c r="D131" s="283" t="s">
        <v>3227</v>
      </c>
      <c r="E131" s="248"/>
      <c r="F131" s="284" t="str">
        <f>IF(E131='3. Dropdowns'!C115,"","Execution")</f>
        <v>Execution</v>
      </c>
      <c r="G131" s="268"/>
      <c r="H131" s="238"/>
      <c r="I131" s="239" t="s">
        <v>890</v>
      </c>
      <c r="J131" s="240"/>
      <c r="K131" s="240"/>
      <c r="L131" s="240"/>
      <c r="M131" s="240"/>
      <c r="N131" s="240"/>
      <c r="O131" s="240"/>
      <c r="P131" s="240"/>
      <c r="Q131" s="240"/>
      <c r="R131" s="240"/>
      <c r="S131" s="240"/>
      <c r="T131" s="240" t="s">
        <v>890</v>
      </c>
      <c r="U131" s="240"/>
      <c r="V131" s="240"/>
      <c r="W131" s="240"/>
      <c r="X131" s="238"/>
      <c r="Y131" s="240"/>
      <c r="Z131" s="240"/>
      <c r="AA131" s="240"/>
      <c r="AB131" s="240"/>
      <c r="AC131" s="240"/>
      <c r="AD131" s="240"/>
      <c r="AE131" s="240"/>
      <c r="AF131" s="240"/>
      <c r="AG131" s="240"/>
      <c r="AH131" s="238"/>
      <c r="AI131" s="240"/>
      <c r="AJ131" s="240"/>
      <c r="AK131" s="240"/>
      <c r="AL131" s="240"/>
      <c r="AM131" s="238"/>
      <c r="AN131" s="240" t="s">
        <v>890</v>
      </c>
      <c r="AO131" s="240"/>
      <c r="AP131" s="240"/>
      <c r="AQ131" s="238"/>
      <c r="AR131" s="240"/>
      <c r="AS131" s="240"/>
      <c r="AT131" s="240"/>
      <c r="AU131" s="240"/>
      <c r="AV131" s="240"/>
      <c r="AW131" s="240"/>
      <c r="AX131" s="240"/>
      <c r="AY131" s="240"/>
      <c r="AZ131" s="238"/>
      <c r="BA131" s="240"/>
      <c r="BB131" s="240"/>
      <c r="BC131" s="240"/>
      <c r="BD131" s="240"/>
      <c r="BE131" s="240" t="s">
        <v>890</v>
      </c>
      <c r="BF131" s="240"/>
      <c r="BG131" s="240"/>
      <c r="BH131" s="240"/>
      <c r="BI131" s="240"/>
      <c r="BJ131" s="240"/>
      <c r="BK131" s="240"/>
      <c r="BL131" s="240"/>
      <c r="BM131" s="240"/>
      <c r="BN131" s="240"/>
      <c r="BO131" s="240"/>
      <c r="BP131" s="238"/>
      <c r="BQ131" s="240"/>
      <c r="BR131" s="240"/>
      <c r="BS131" s="240"/>
      <c r="BT131" s="240"/>
      <c r="BU131" s="240"/>
      <c r="BV131" s="240"/>
      <c r="BW131" s="240"/>
      <c r="BX131" s="240"/>
      <c r="BY131" s="240"/>
      <c r="BZ131" s="240"/>
      <c r="CA131" s="240"/>
      <c r="CB131" s="240"/>
      <c r="CC131" s="240"/>
      <c r="CD131" s="240"/>
      <c r="CE131" s="240"/>
      <c r="CF131" s="238"/>
      <c r="CG131" s="240"/>
      <c r="CH131" s="240"/>
      <c r="CI131" s="240"/>
      <c r="CJ131" s="240"/>
      <c r="CK131" s="240"/>
      <c r="CL131" s="240"/>
      <c r="CM131" s="240"/>
      <c r="CN131" s="240"/>
      <c r="CO131" s="240"/>
      <c r="CP131" s="240"/>
      <c r="CQ131" s="240"/>
      <c r="CR131" s="240"/>
      <c r="CS131" s="238"/>
      <c r="CT131" s="240"/>
      <c r="CU131" s="240"/>
      <c r="CV131" s="240"/>
      <c r="CW131" s="240"/>
      <c r="CX131" s="240"/>
      <c r="CY131" s="240"/>
      <c r="CZ131" s="240"/>
      <c r="DA131" s="240"/>
      <c r="DB131" s="240"/>
      <c r="DC131" s="240"/>
      <c r="DD131" s="240"/>
      <c r="DE131" s="240"/>
      <c r="DF131" s="238"/>
      <c r="DG131" s="240"/>
      <c r="DH131" s="240"/>
      <c r="DI131" s="240"/>
      <c r="DJ131" s="240"/>
      <c r="DK131" s="240"/>
      <c r="DL131" s="240"/>
      <c r="DM131" s="240"/>
      <c r="DN131" s="240"/>
      <c r="DO131" s="240"/>
      <c r="DP131" s="240"/>
      <c r="DQ131" s="240"/>
      <c r="DR131" s="238"/>
      <c r="DS131" s="240"/>
      <c r="DT131" s="240"/>
      <c r="DU131" s="240"/>
      <c r="DV131" s="238"/>
      <c r="DW131" s="240"/>
      <c r="DX131" s="240"/>
      <c r="DY131" s="240"/>
      <c r="DZ131" s="240"/>
      <c r="EA131" s="240"/>
      <c r="EB131" s="240"/>
      <c r="EC131" s="240"/>
      <c r="ED131" s="240"/>
      <c r="EE131" s="240"/>
      <c r="EF131" s="238"/>
      <c r="EG131" s="240"/>
      <c r="EH131" s="240"/>
      <c r="EI131" s="240"/>
      <c r="EJ131" s="238"/>
      <c r="EK131" s="240"/>
      <c r="EL131" s="238"/>
      <c r="EM131" s="240"/>
      <c r="EN131" s="240"/>
      <c r="EO131" s="240"/>
      <c r="EP131" s="240"/>
      <c r="EQ131" s="240"/>
      <c r="ER131" s="240"/>
      <c r="ES131" s="240"/>
      <c r="ET131" s="240"/>
      <c r="EU131" s="240"/>
      <c r="EV131" s="240"/>
      <c r="EW131" s="240"/>
      <c r="EX131" s="238"/>
      <c r="EY131" s="240"/>
      <c r="EZ131" s="240"/>
      <c r="FA131" s="240"/>
      <c r="FB131" s="240"/>
      <c r="FC131" s="240"/>
      <c r="FD131" s="240"/>
      <c r="FE131" s="240"/>
      <c r="FF131" s="240"/>
      <c r="FG131" s="240"/>
      <c r="FH131" s="240" t="s">
        <v>890</v>
      </c>
      <c r="FI131" s="240"/>
      <c r="FJ131" s="240"/>
      <c r="FK131" s="240"/>
      <c r="FL131" s="240"/>
      <c r="FM131" s="240"/>
      <c r="FN131" s="240"/>
      <c r="FO131" s="238"/>
      <c r="FP131" s="240"/>
      <c r="FQ131" s="240"/>
      <c r="FR131" s="240"/>
      <c r="FS131" s="240"/>
      <c r="FT131" s="240"/>
      <c r="FU131" s="240"/>
      <c r="FV131" s="240"/>
      <c r="FW131" s="240"/>
      <c r="FX131" s="240"/>
      <c r="FY131" s="240"/>
      <c r="FZ131" s="238"/>
      <c r="GA131" s="240"/>
      <c r="GB131" s="240"/>
      <c r="GC131" s="238"/>
      <c r="GD131" s="240"/>
      <c r="GE131" s="240"/>
      <c r="GF131" s="240"/>
      <c r="GG131" s="240"/>
      <c r="GH131" s="238"/>
      <c r="GI131" s="240"/>
      <c r="GJ131" s="240"/>
      <c r="GK131" s="240"/>
      <c r="GL131" s="240"/>
      <c r="GM131" s="238"/>
      <c r="GN131" s="240"/>
      <c r="GO131" s="240"/>
      <c r="GP131" s="240"/>
      <c r="GQ131" s="240"/>
      <c r="GR131" s="240"/>
      <c r="GS131" s="240"/>
      <c r="GT131" s="240"/>
      <c r="GU131" s="240"/>
      <c r="GV131" s="240"/>
      <c r="GW131" s="240"/>
      <c r="GX131" s="240"/>
      <c r="GY131" s="240"/>
      <c r="GZ131" s="240"/>
      <c r="HA131" s="240"/>
      <c r="HB131" s="240"/>
      <c r="HC131" s="240"/>
      <c r="HD131" s="238"/>
      <c r="HE131" s="240"/>
      <c r="HF131" s="240"/>
      <c r="HG131" s="240"/>
      <c r="HH131" s="240"/>
      <c r="HI131" s="240"/>
      <c r="HJ131" s="238"/>
      <c r="HK131" s="240"/>
      <c r="HL131" s="238"/>
      <c r="HM131" s="241"/>
      <c r="HN131" s="235"/>
      <c r="HO131" s="235"/>
      <c r="HP131" s="235"/>
      <c r="HQ131" s="235"/>
    </row>
    <row r="132" spans="2:225" ht="37.5" hidden="1" outlineLevel="3">
      <c r="B132" s="251" t="s">
        <v>1788</v>
      </c>
      <c r="C132" s="252" t="str">
        <f>IF(E128='3. Dropdowns'!C113,"Hide",IF(E66='3. Dropdowns'!C111,"Hide","Show"))</f>
        <v>Show</v>
      </c>
      <c r="D132" s="283" t="s">
        <v>3228</v>
      </c>
      <c r="E132" s="248"/>
      <c r="F132" s="284" t="str">
        <f>IF(E132='3. Dropdowns'!C115,"","Execution")</f>
        <v>Execution</v>
      </c>
      <c r="G132" s="268"/>
      <c r="H132" s="238"/>
      <c r="I132" s="239" t="s">
        <v>890</v>
      </c>
      <c r="J132" s="240"/>
      <c r="K132" s="240"/>
      <c r="L132" s="240"/>
      <c r="M132" s="240"/>
      <c r="N132" s="240"/>
      <c r="O132" s="240"/>
      <c r="P132" s="240"/>
      <c r="Q132" s="240"/>
      <c r="R132" s="240"/>
      <c r="S132" s="240"/>
      <c r="T132" s="240" t="s">
        <v>890</v>
      </c>
      <c r="U132" s="240"/>
      <c r="V132" s="240"/>
      <c r="W132" s="240"/>
      <c r="X132" s="238"/>
      <c r="Y132" s="240"/>
      <c r="Z132" s="240"/>
      <c r="AA132" s="240"/>
      <c r="AB132" s="240"/>
      <c r="AC132" s="240"/>
      <c r="AD132" s="240"/>
      <c r="AE132" s="240"/>
      <c r="AF132" s="240"/>
      <c r="AG132" s="240"/>
      <c r="AH132" s="238"/>
      <c r="AI132" s="240"/>
      <c r="AJ132" s="240"/>
      <c r="AK132" s="240"/>
      <c r="AL132" s="240"/>
      <c r="AM132" s="238"/>
      <c r="AN132" s="240"/>
      <c r="AO132" s="240"/>
      <c r="AP132" s="240"/>
      <c r="AQ132" s="238"/>
      <c r="AR132" s="240"/>
      <c r="AS132" s="240"/>
      <c r="AT132" s="240"/>
      <c r="AU132" s="240"/>
      <c r="AV132" s="240"/>
      <c r="AW132" s="240"/>
      <c r="AX132" s="240"/>
      <c r="AY132" s="240"/>
      <c r="AZ132" s="238"/>
      <c r="BA132" s="240" t="s">
        <v>890</v>
      </c>
      <c r="BB132" s="240"/>
      <c r="BC132" s="240"/>
      <c r="BD132" s="240"/>
      <c r="BE132" s="240" t="s">
        <v>890</v>
      </c>
      <c r="BF132" s="240"/>
      <c r="BG132" s="240"/>
      <c r="BH132" s="240"/>
      <c r="BI132" s="240"/>
      <c r="BJ132" s="240"/>
      <c r="BK132" s="240"/>
      <c r="BL132" s="240"/>
      <c r="BM132" s="240"/>
      <c r="BN132" s="240"/>
      <c r="BO132" s="240"/>
      <c r="BP132" s="238"/>
      <c r="BQ132" s="240"/>
      <c r="BR132" s="240"/>
      <c r="BS132" s="240"/>
      <c r="BT132" s="240"/>
      <c r="BU132" s="240"/>
      <c r="BV132" s="240"/>
      <c r="BW132" s="240"/>
      <c r="BX132" s="240"/>
      <c r="BY132" s="240"/>
      <c r="BZ132" s="240"/>
      <c r="CA132" s="240"/>
      <c r="CB132" s="240"/>
      <c r="CC132" s="240"/>
      <c r="CD132" s="240"/>
      <c r="CE132" s="240"/>
      <c r="CF132" s="238"/>
      <c r="CG132" s="240"/>
      <c r="CH132" s="240"/>
      <c r="CI132" s="240"/>
      <c r="CJ132" s="240"/>
      <c r="CK132" s="240"/>
      <c r="CL132" s="240"/>
      <c r="CM132" s="240"/>
      <c r="CN132" s="240"/>
      <c r="CO132" s="240"/>
      <c r="CP132" s="240"/>
      <c r="CQ132" s="240"/>
      <c r="CR132" s="240"/>
      <c r="CS132" s="238"/>
      <c r="CT132" s="240"/>
      <c r="CU132" s="240"/>
      <c r="CV132" s="240"/>
      <c r="CW132" s="240"/>
      <c r="CX132" s="240"/>
      <c r="CY132" s="240"/>
      <c r="CZ132" s="240"/>
      <c r="DA132" s="240"/>
      <c r="DB132" s="240"/>
      <c r="DC132" s="240"/>
      <c r="DD132" s="240"/>
      <c r="DE132" s="240"/>
      <c r="DF132" s="238"/>
      <c r="DG132" s="240"/>
      <c r="DH132" s="240"/>
      <c r="DI132" s="240"/>
      <c r="DJ132" s="240"/>
      <c r="DK132" s="240"/>
      <c r="DL132" s="240"/>
      <c r="DM132" s="240"/>
      <c r="DN132" s="240"/>
      <c r="DO132" s="240"/>
      <c r="DP132" s="240"/>
      <c r="DQ132" s="240"/>
      <c r="DR132" s="238"/>
      <c r="DS132" s="240"/>
      <c r="DT132" s="240"/>
      <c r="DU132" s="240"/>
      <c r="DV132" s="238"/>
      <c r="DW132" s="240"/>
      <c r="DX132" s="240"/>
      <c r="DY132" s="240"/>
      <c r="DZ132" s="240"/>
      <c r="EA132" s="240"/>
      <c r="EB132" s="240"/>
      <c r="EC132" s="240"/>
      <c r="ED132" s="240"/>
      <c r="EE132" s="240"/>
      <c r="EF132" s="238"/>
      <c r="EG132" s="240"/>
      <c r="EH132" s="240"/>
      <c r="EI132" s="240"/>
      <c r="EJ132" s="238"/>
      <c r="EK132" s="240"/>
      <c r="EL132" s="238"/>
      <c r="EM132" s="240"/>
      <c r="EN132" s="240"/>
      <c r="EO132" s="240"/>
      <c r="EP132" s="240"/>
      <c r="EQ132" s="240"/>
      <c r="ER132" s="240"/>
      <c r="ES132" s="240"/>
      <c r="ET132" s="240"/>
      <c r="EU132" s="240"/>
      <c r="EV132" s="240"/>
      <c r="EW132" s="240"/>
      <c r="EX132" s="238"/>
      <c r="EY132" s="240"/>
      <c r="EZ132" s="240"/>
      <c r="FA132" s="240"/>
      <c r="FB132" s="240"/>
      <c r="FC132" s="240"/>
      <c r="FD132" s="240"/>
      <c r="FE132" s="240"/>
      <c r="FF132" s="240"/>
      <c r="FG132" s="240"/>
      <c r="FH132" s="240" t="s">
        <v>890</v>
      </c>
      <c r="FI132" s="240"/>
      <c r="FJ132" s="240"/>
      <c r="FK132" s="240"/>
      <c r="FL132" s="240"/>
      <c r="FM132" s="240"/>
      <c r="FN132" s="240"/>
      <c r="FO132" s="238"/>
      <c r="FP132" s="240"/>
      <c r="FQ132" s="240"/>
      <c r="FR132" s="240"/>
      <c r="FS132" s="240"/>
      <c r="FT132" s="240"/>
      <c r="FU132" s="240"/>
      <c r="FV132" s="240"/>
      <c r="FW132" s="240"/>
      <c r="FX132" s="240"/>
      <c r="FY132" s="240"/>
      <c r="FZ132" s="238"/>
      <c r="GA132" s="240"/>
      <c r="GB132" s="240"/>
      <c r="GC132" s="238"/>
      <c r="GD132" s="240"/>
      <c r="GE132" s="240"/>
      <c r="GF132" s="240"/>
      <c r="GG132" s="240"/>
      <c r="GH132" s="238"/>
      <c r="GI132" s="240"/>
      <c r="GJ132" s="240"/>
      <c r="GK132" s="240"/>
      <c r="GL132" s="240"/>
      <c r="GM132" s="238"/>
      <c r="GN132" s="240"/>
      <c r="GO132" s="240"/>
      <c r="GP132" s="240"/>
      <c r="GQ132" s="240"/>
      <c r="GR132" s="240"/>
      <c r="GS132" s="240"/>
      <c r="GT132" s="240"/>
      <c r="GU132" s="240"/>
      <c r="GV132" s="240"/>
      <c r="GW132" s="240"/>
      <c r="GX132" s="240"/>
      <c r="GY132" s="240"/>
      <c r="GZ132" s="240"/>
      <c r="HA132" s="240"/>
      <c r="HB132" s="240"/>
      <c r="HC132" s="240"/>
      <c r="HD132" s="238"/>
      <c r="HE132" s="240"/>
      <c r="HF132" s="240"/>
      <c r="HG132" s="240"/>
      <c r="HH132" s="240"/>
      <c r="HI132" s="240"/>
      <c r="HJ132" s="238"/>
      <c r="HK132" s="240"/>
      <c r="HL132" s="238"/>
      <c r="HM132" s="241"/>
      <c r="HN132" s="235"/>
      <c r="HO132" s="235"/>
      <c r="HP132" s="235"/>
      <c r="HQ132" s="235"/>
    </row>
    <row r="133" spans="2:225" ht="37.5" hidden="1" outlineLevel="3">
      <c r="B133" s="251" t="s">
        <v>1788</v>
      </c>
      <c r="C133" s="252" t="str">
        <f>IF(E128='3. Dropdowns'!C113,"Hide",IF(E66='3. Dropdowns'!C111,"Hide","Show"))</f>
        <v>Show</v>
      </c>
      <c r="D133" s="285" t="s">
        <v>3229</v>
      </c>
      <c r="E133" s="248"/>
      <c r="F133" s="284" t="str">
        <f>IF(E133='3. Dropdowns'!C115,"","Execution")</f>
        <v>Execution</v>
      </c>
      <c r="G133" s="268"/>
      <c r="H133" s="238"/>
      <c r="I133" s="239" t="s">
        <v>890</v>
      </c>
      <c r="J133" s="240"/>
      <c r="K133" s="240"/>
      <c r="L133" s="240"/>
      <c r="M133" s="240"/>
      <c r="N133" s="240"/>
      <c r="O133" s="240"/>
      <c r="P133" s="240"/>
      <c r="Q133" s="240"/>
      <c r="R133" s="240"/>
      <c r="S133" s="240"/>
      <c r="T133" s="240" t="s">
        <v>890</v>
      </c>
      <c r="U133" s="240"/>
      <c r="V133" s="240"/>
      <c r="W133" s="240"/>
      <c r="X133" s="238"/>
      <c r="Y133" s="240"/>
      <c r="Z133" s="240"/>
      <c r="AA133" s="240"/>
      <c r="AB133" s="240"/>
      <c r="AC133" s="240"/>
      <c r="AD133" s="240"/>
      <c r="AE133" s="240"/>
      <c r="AF133" s="240"/>
      <c r="AG133" s="240"/>
      <c r="AH133" s="238"/>
      <c r="AI133" s="240"/>
      <c r="AJ133" s="240"/>
      <c r="AK133" s="240"/>
      <c r="AL133" s="240"/>
      <c r="AM133" s="238"/>
      <c r="AN133" s="240"/>
      <c r="AO133" s="240"/>
      <c r="AP133" s="240"/>
      <c r="AQ133" s="238"/>
      <c r="AR133" s="240"/>
      <c r="AS133" s="240"/>
      <c r="AT133" s="240"/>
      <c r="AU133" s="240"/>
      <c r="AV133" s="240"/>
      <c r="AW133" s="240"/>
      <c r="AX133" s="240"/>
      <c r="AY133" s="240"/>
      <c r="AZ133" s="238"/>
      <c r="BA133" s="240" t="s">
        <v>890</v>
      </c>
      <c r="BB133" s="240"/>
      <c r="BC133" s="240"/>
      <c r="BD133" s="240"/>
      <c r="BE133" s="240" t="s">
        <v>890</v>
      </c>
      <c r="BF133" s="240"/>
      <c r="BG133" s="240"/>
      <c r="BH133" s="240"/>
      <c r="BI133" s="240"/>
      <c r="BJ133" s="240"/>
      <c r="BK133" s="240"/>
      <c r="BL133" s="240"/>
      <c r="BM133" s="240"/>
      <c r="BN133" s="240"/>
      <c r="BO133" s="240"/>
      <c r="BP133" s="238"/>
      <c r="BQ133" s="240"/>
      <c r="BR133" s="240"/>
      <c r="BS133" s="240"/>
      <c r="BT133" s="240"/>
      <c r="BU133" s="240"/>
      <c r="BV133" s="240"/>
      <c r="BW133" s="240"/>
      <c r="BX133" s="240"/>
      <c r="BY133" s="240"/>
      <c r="BZ133" s="240"/>
      <c r="CA133" s="240"/>
      <c r="CB133" s="240"/>
      <c r="CC133" s="240"/>
      <c r="CD133" s="240"/>
      <c r="CE133" s="240"/>
      <c r="CF133" s="238"/>
      <c r="CG133" s="240"/>
      <c r="CH133" s="240"/>
      <c r="CI133" s="240"/>
      <c r="CJ133" s="240"/>
      <c r="CK133" s="240"/>
      <c r="CL133" s="240"/>
      <c r="CM133" s="240"/>
      <c r="CN133" s="240"/>
      <c r="CO133" s="240"/>
      <c r="CP133" s="240"/>
      <c r="CQ133" s="240"/>
      <c r="CR133" s="240"/>
      <c r="CS133" s="238"/>
      <c r="CT133" s="240"/>
      <c r="CU133" s="240"/>
      <c r="CV133" s="240"/>
      <c r="CW133" s="240"/>
      <c r="CX133" s="240"/>
      <c r="CY133" s="240"/>
      <c r="CZ133" s="240"/>
      <c r="DA133" s="240"/>
      <c r="DB133" s="240"/>
      <c r="DC133" s="240"/>
      <c r="DD133" s="240"/>
      <c r="DE133" s="240"/>
      <c r="DF133" s="238"/>
      <c r="DG133" s="240"/>
      <c r="DH133" s="240"/>
      <c r="DI133" s="240"/>
      <c r="DJ133" s="240"/>
      <c r="DK133" s="240"/>
      <c r="DL133" s="240"/>
      <c r="DM133" s="240"/>
      <c r="DN133" s="240"/>
      <c r="DO133" s="240"/>
      <c r="DP133" s="240"/>
      <c r="DQ133" s="240"/>
      <c r="DR133" s="238"/>
      <c r="DS133" s="240"/>
      <c r="DT133" s="240"/>
      <c r="DU133" s="240"/>
      <c r="DV133" s="238"/>
      <c r="DW133" s="240"/>
      <c r="DX133" s="240"/>
      <c r="DY133" s="240"/>
      <c r="DZ133" s="240"/>
      <c r="EA133" s="240"/>
      <c r="EB133" s="240"/>
      <c r="EC133" s="240"/>
      <c r="ED133" s="240"/>
      <c r="EE133" s="240"/>
      <c r="EF133" s="238"/>
      <c r="EG133" s="240"/>
      <c r="EH133" s="240"/>
      <c r="EI133" s="240"/>
      <c r="EJ133" s="238"/>
      <c r="EK133" s="240"/>
      <c r="EL133" s="238"/>
      <c r="EM133" s="240"/>
      <c r="EN133" s="240"/>
      <c r="EO133" s="240"/>
      <c r="EP133" s="240"/>
      <c r="EQ133" s="240"/>
      <c r="ER133" s="240"/>
      <c r="ES133" s="240"/>
      <c r="ET133" s="240"/>
      <c r="EU133" s="240"/>
      <c r="EV133" s="240"/>
      <c r="EW133" s="240"/>
      <c r="EX133" s="238"/>
      <c r="EY133" s="240"/>
      <c r="EZ133" s="240"/>
      <c r="FA133" s="240"/>
      <c r="FB133" s="240"/>
      <c r="FC133" s="240"/>
      <c r="FD133" s="240"/>
      <c r="FE133" s="240"/>
      <c r="FF133" s="240"/>
      <c r="FG133" s="240"/>
      <c r="FH133" s="240" t="s">
        <v>890</v>
      </c>
      <c r="FI133" s="240"/>
      <c r="FJ133" s="240"/>
      <c r="FK133" s="240"/>
      <c r="FL133" s="240"/>
      <c r="FM133" s="240"/>
      <c r="FN133" s="240"/>
      <c r="FO133" s="238"/>
      <c r="FP133" s="240"/>
      <c r="FQ133" s="240"/>
      <c r="FR133" s="240"/>
      <c r="FS133" s="240"/>
      <c r="FT133" s="240"/>
      <c r="FU133" s="240"/>
      <c r="FV133" s="240"/>
      <c r="FW133" s="240"/>
      <c r="FX133" s="240"/>
      <c r="FY133" s="240"/>
      <c r="FZ133" s="238"/>
      <c r="GA133" s="240"/>
      <c r="GB133" s="240"/>
      <c r="GC133" s="238"/>
      <c r="GD133" s="240"/>
      <c r="GE133" s="240"/>
      <c r="GF133" s="240"/>
      <c r="GG133" s="240"/>
      <c r="GH133" s="238"/>
      <c r="GI133" s="240"/>
      <c r="GJ133" s="240"/>
      <c r="GK133" s="240"/>
      <c r="GL133" s="240"/>
      <c r="GM133" s="238"/>
      <c r="GN133" s="240"/>
      <c r="GO133" s="240"/>
      <c r="GP133" s="240"/>
      <c r="GQ133" s="240"/>
      <c r="GR133" s="240"/>
      <c r="GS133" s="240"/>
      <c r="GT133" s="240"/>
      <c r="GU133" s="240"/>
      <c r="GV133" s="240"/>
      <c r="GW133" s="240"/>
      <c r="GX133" s="240"/>
      <c r="GY133" s="240"/>
      <c r="GZ133" s="240"/>
      <c r="HA133" s="240"/>
      <c r="HB133" s="240"/>
      <c r="HC133" s="240"/>
      <c r="HD133" s="238"/>
      <c r="HE133" s="240"/>
      <c r="HF133" s="240"/>
      <c r="HG133" s="240"/>
      <c r="HH133" s="240"/>
      <c r="HI133" s="240"/>
      <c r="HJ133" s="238"/>
      <c r="HK133" s="240"/>
      <c r="HL133" s="238"/>
      <c r="HM133" s="241"/>
      <c r="HN133" s="235"/>
      <c r="HO133" s="235"/>
      <c r="HP133" s="235"/>
      <c r="HQ133" s="235"/>
    </row>
    <row r="134" spans="2:225" ht="37.5" hidden="1" outlineLevel="2" collapsed="1">
      <c r="B134" s="251" t="s">
        <v>713</v>
      </c>
      <c r="C134" s="252" t="str">
        <f>IF(E66='3. Dropdowns'!C111,"Hide","Show")</f>
        <v>Show</v>
      </c>
      <c r="D134" s="283" t="s">
        <v>3230</v>
      </c>
      <c r="E134" s="248"/>
      <c r="F134" s="284" t="str">
        <f>IF(E134='3. Dropdowns'!C113,"","Submittals, Products, Execution")</f>
        <v>Submittals, Products, Execution</v>
      </c>
      <c r="G134" s="268"/>
      <c r="H134" s="238"/>
      <c r="I134" s="239" t="s">
        <v>890</v>
      </c>
      <c r="J134" s="240"/>
      <c r="K134" s="240"/>
      <c r="L134" s="240"/>
      <c r="M134" s="240"/>
      <c r="N134" s="240"/>
      <c r="O134" s="240"/>
      <c r="P134" s="240"/>
      <c r="Q134" s="240"/>
      <c r="R134" s="240"/>
      <c r="S134" s="240"/>
      <c r="T134" s="240" t="s">
        <v>890</v>
      </c>
      <c r="U134" s="240"/>
      <c r="V134" s="240"/>
      <c r="W134" s="240"/>
      <c r="X134" s="238"/>
      <c r="Y134" s="240"/>
      <c r="Z134" s="240"/>
      <c r="AA134" s="240"/>
      <c r="AB134" s="240"/>
      <c r="AC134" s="240"/>
      <c r="AD134" s="240"/>
      <c r="AE134" s="240"/>
      <c r="AF134" s="240"/>
      <c r="AG134" s="240"/>
      <c r="AH134" s="238"/>
      <c r="AI134" s="240"/>
      <c r="AJ134" s="240"/>
      <c r="AK134" s="240"/>
      <c r="AL134" s="240"/>
      <c r="AM134" s="238"/>
      <c r="AN134" s="240"/>
      <c r="AO134" s="240"/>
      <c r="AP134" s="240"/>
      <c r="AQ134" s="238"/>
      <c r="AR134" s="240"/>
      <c r="AS134" s="240"/>
      <c r="AT134" s="240"/>
      <c r="AU134" s="240"/>
      <c r="AV134" s="240"/>
      <c r="AW134" s="240"/>
      <c r="AX134" s="240"/>
      <c r="AY134" s="240"/>
      <c r="AZ134" s="238"/>
      <c r="BA134" s="240" t="s">
        <v>890</v>
      </c>
      <c r="BB134" s="240"/>
      <c r="BC134" s="240"/>
      <c r="BD134" s="240"/>
      <c r="BE134" s="240"/>
      <c r="BF134" s="240"/>
      <c r="BG134" s="240" t="s">
        <v>890</v>
      </c>
      <c r="BH134" s="240"/>
      <c r="BI134" s="240"/>
      <c r="BJ134" s="240"/>
      <c r="BK134" s="240"/>
      <c r="BL134" s="240"/>
      <c r="BM134" s="240"/>
      <c r="BN134" s="240"/>
      <c r="BO134" s="240"/>
      <c r="BP134" s="238"/>
      <c r="BQ134" s="240"/>
      <c r="BR134" s="240"/>
      <c r="BS134" s="240"/>
      <c r="BT134" s="240"/>
      <c r="BU134" s="240"/>
      <c r="BV134" s="240"/>
      <c r="BW134" s="240"/>
      <c r="BX134" s="240"/>
      <c r="BY134" s="240"/>
      <c r="BZ134" s="240"/>
      <c r="CA134" s="240"/>
      <c r="CB134" s="240"/>
      <c r="CC134" s="240"/>
      <c r="CD134" s="240"/>
      <c r="CE134" s="240"/>
      <c r="CF134" s="238"/>
      <c r="CG134" s="240"/>
      <c r="CH134" s="240"/>
      <c r="CI134" s="240"/>
      <c r="CJ134" s="240"/>
      <c r="CK134" s="240"/>
      <c r="CL134" s="240"/>
      <c r="CM134" s="240"/>
      <c r="CN134" s="240"/>
      <c r="CO134" s="240"/>
      <c r="CP134" s="240"/>
      <c r="CQ134" s="240"/>
      <c r="CR134" s="240"/>
      <c r="CS134" s="238"/>
      <c r="CT134" s="240"/>
      <c r="CU134" s="240"/>
      <c r="CV134" s="240"/>
      <c r="CW134" s="240"/>
      <c r="CX134" s="240"/>
      <c r="CY134" s="240"/>
      <c r="CZ134" s="240"/>
      <c r="DA134" s="240"/>
      <c r="DB134" s="240"/>
      <c r="DC134" s="240"/>
      <c r="DD134" s="240"/>
      <c r="DE134" s="240"/>
      <c r="DF134" s="238"/>
      <c r="DG134" s="240"/>
      <c r="DH134" s="240"/>
      <c r="DI134" s="240"/>
      <c r="DJ134" s="240"/>
      <c r="DK134" s="240"/>
      <c r="DL134" s="240"/>
      <c r="DM134" s="240"/>
      <c r="DN134" s="240"/>
      <c r="DO134" s="240"/>
      <c r="DP134" s="240"/>
      <c r="DQ134" s="240"/>
      <c r="DR134" s="238"/>
      <c r="DS134" s="240"/>
      <c r="DT134" s="240"/>
      <c r="DU134" s="240"/>
      <c r="DV134" s="238"/>
      <c r="DW134" s="240"/>
      <c r="DX134" s="240"/>
      <c r="DY134" s="240"/>
      <c r="DZ134" s="240"/>
      <c r="EA134" s="240"/>
      <c r="EB134" s="240"/>
      <c r="EC134" s="240"/>
      <c r="ED134" s="240"/>
      <c r="EE134" s="240"/>
      <c r="EF134" s="238"/>
      <c r="EG134" s="240"/>
      <c r="EH134" s="240"/>
      <c r="EI134" s="240"/>
      <c r="EJ134" s="238"/>
      <c r="EK134" s="240"/>
      <c r="EL134" s="238"/>
      <c r="EM134" s="240"/>
      <c r="EN134" s="240"/>
      <c r="EO134" s="240"/>
      <c r="EP134" s="240"/>
      <c r="EQ134" s="240"/>
      <c r="ER134" s="240"/>
      <c r="ES134" s="240"/>
      <c r="ET134" s="240"/>
      <c r="EU134" s="240"/>
      <c r="EV134" s="240"/>
      <c r="EW134" s="240"/>
      <c r="EX134" s="238"/>
      <c r="EY134" s="240"/>
      <c r="EZ134" s="240"/>
      <c r="FA134" s="240"/>
      <c r="FB134" s="240"/>
      <c r="FC134" s="240"/>
      <c r="FD134" s="240"/>
      <c r="FE134" s="240"/>
      <c r="FF134" s="240"/>
      <c r="FG134" s="240"/>
      <c r="FH134" s="240"/>
      <c r="FI134" s="240"/>
      <c r="FJ134" s="240"/>
      <c r="FK134" s="240" t="s">
        <v>890</v>
      </c>
      <c r="FL134" s="240"/>
      <c r="FM134" s="240"/>
      <c r="FN134" s="240"/>
      <c r="FO134" s="238"/>
      <c r="FP134" s="240"/>
      <c r="FQ134" s="240"/>
      <c r="FR134" s="240"/>
      <c r="FS134" s="240"/>
      <c r="FT134" s="240"/>
      <c r="FU134" s="240"/>
      <c r="FV134" s="240"/>
      <c r="FW134" s="240"/>
      <c r="FX134" s="240" t="s">
        <v>890</v>
      </c>
      <c r="FY134" s="240"/>
      <c r="FZ134" s="238"/>
      <c r="GA134" s="240"/>
      <c r="GB134" s="240"/>
      <c r="GC134" s="238"/>
      <c r="GD134" s="240"/>
      <c r="GE134" s="240"/>
      <c r="GF134" s="240"/>
      <c r="GG134" s="240"/>
      <c r="GH134" s="238"/>
      <c r="GI134" s="240"/>
      <c r="GJ134" s="240"/>
      <c r="GK134" s="240"/>
      <c r="GL134" s="240"/>
      <c r="GM134" s="238"/>
      <c r="GN134" s="240"/>
      <c r="GO134" s="240"/>
      <c r="GP134" s="240"/>
      <c r="GQ134" s="240"/>
      <c r="GR134" s="240"/>
      <c r="GS134" s="240"/>
      <c r="GT134" s="240"/>
      <c r="GU134" s="240"/>
      <c r="GV134" s="240"/>
      <c r="GW134" s="240"/>
      <c r="GX134" s="240"/>
      <c r="GY134" s="240"/>
      <c r="GZ134" s="240"/>
      <c r="HA134" s="240"/>
      <c r="HB134" s="240"/>
      <c r="HC134" s="240"/>
      <c r="HD134" s="238"/>
      <c r="HE134" s="240"/>
      <c r="HF134" s="240"/>
      <c r="HG134" s="240"/>
      <c r="HH134" s="240"/>
      <c r="HI134" s="240"/>
      <c r="HJ134" s="238"/>
      <c r="HK134" s="240"/>
      <c r="HL134" s="238"/>
      <c r="HM134" s="241"/>
      <c r="HN134" s="235"/>
      <c r="HO134" s="235"/>
      <c r="HP134" s="235"/>
      <c r="HQ134" s="235"/>
    </row>
    <row r="135" spans="2:225" ht="37.5" hidden="1" outlineLevel="3">
      <c r="B135" s="251" t="s">
        <v>1789</v>
      </c>
      <c r="C135" s="252" t="str">
        <f>IF(E134='3. Dropdowns'!C113,"Hide",IF(E66='3. Dropdowns'!C111,"Hide","Show"))</f>
        <v>Show</v>
      </c>
      <c r="D135" s="283" t="s">
        <v>3231</v>
      </c>
      <c r="E135" s="248"/>
      <c r="F135" s="284" t="str">
        <f>IF(E135='3. Dropdowns'!C115,"","Submittals")</f>
        <v>Submittals</v>
      </c>
      <c r="G135" s="268"/>
      <c r="H135" s="238"/>
      <c r="I135" s="239" t="s">
        <v>890</v>
      </c>
      <c r="J135" s="240"/>
      <c r="K135" s="240"/>
      <c r="L135" s="240"/>
      <c r="M135" s="240"/>
      <c r="N135" s="240"/>
      <c r="O135" s="240"/>
      <c r="P135" s="240"/>
      <c r="Q135" s="240"/>
      <c r="R135" s="240"/>
      <c r="S135" s="240"/>
      <c r="T135" s="240" t="s">
        <v>890</v>
      </c>
      <c r="U135" s="240"/>
      <c r="V135" s="240"/>
      <c r="W135" s="240"/>
      <c r="X135" s="238"/>
      <c r="Y135" s="240"/>
      <c r="Z135" s="240"/>
      <c r="AA135" s="240"/>
      <c r="AB135" s="240"/>
      <c r="AC135" s="240"/>
      <c r="AD135" s="240"/>
      <c r="AE135" s="240"/>
      <c r="AF135" s="240"/>
      <c r="AG135" s="240"/>
      <c r="AH135" s="238"/>
      <c r="AI135" s="240"/>
      <c r="AJ135" s="240"/>
      <c r="AK135" s="240"/>
      <c r="AL135" s="240"/>
      <c r="AM135" s="238"/>
      <c r="AN135" s="240"/>
      <c r="AO135" s="240"/>
      <c r="AP135" s="240"/>
      <c r="AQ135" s="238"/>
      <c r="AR135" s="240"/>
      <c r="AS135" s="240"/>
      <c r="AT135" s="240"/>
      <c r="AU135" s="240"/>
      <c r="AV135" s="240"/>
      <c r="AW135" s="240"/>
      <c r="AX135" s="240"/>
      <c r="AY135" s="240"/>
      <c r="AZ135" s="238"/>
      <c r="BA135" s="240"/>
      <c r="BB135" s="240"/>
      <c r="BC135" s="240"/>
      <c r="BD135" s="240"/>
      <c r="BE135" s="240"/>
      <c r="BF135" s="240"/>
      <c r="BG135" s="240"/>
      <c r="BH135" s="240"/>
      <c r="BI135" s="240"/>
      <c r="BJ135" s="240"/>
      <c r="BK135" s="240"/>
      <c r="BL135" s="240"/>
      <c r="BM135" s="240"/>
      <c r="BN135" s="240"/>
      <c r="BO135" s="240"/>
      <c r="BP135" s="238"/>
      <c r="BQ135" s="240"/>
      <c r="BR135" s="240"/>
      <c r="BS135" s="240"/>
      <c r="BT135" s="240"/>
      <c r="BU135" s="240"/>
      <c r="BV135" s="240"/>
      <c r="BW135" s="240"/>
      <c r="BX135" s="240"/>
      <c r="BY135" s="240"/>
      <c r="BZ135" s="240"/>
      <c r="CA135" s="240"/>
      <c r="CB135" s="240"/>
      <c r="CC135" s="240"/>
      <c r="CD135" s="240"/>
      <c r="CE135" s="240"/>
      <c r="CF135" s="238"/>
      <c r="CG135" s="240"/>
      <c r="CH135" s="240"/>
      <c r="CI135" s="240"/>
      <c r="CJ135" s="240"/>
      <c r="CK135" s="240"/>
      <c r="CL135" s="240"/>
      <c r="CM135" s="240"/>
      <c r="CN135" s="240"/>
      <c r="CO135" s="240"/>
      <c r="CP135" s="240"/>
      <c r="CQ135" s="240"/>
      <c r="CR135" s="240"/>
      <c r="CS135" s="238"/>
      <c r="CT135" s="240"/>
      <c r="CU135" s="240"/>
      <c r="CV135" s="240"/>
      <c r="CW135" s="240"/>
      <c r="CX135" s="240"/>
      <c r="CY135" s="240"/>
      <c r="CZ135" s="240"/>
      <c r="DA135" s="240"/>
      <c r="DB135" s="240"/>
      <c r="DC135" s="240"/>
      <c r="DD135" s="240"/>
      <c r="DE135" s="240"/>
      <c r="DF135" s="238"/>
      <c r="DG135" s="240"/>
      <c r="DH135" s="240"/>
      <c r="DI135" s="240"/>
      <c r="DJ135" s="240"/>
      <c r="DK135" s="240"/>
      <c r="DL135" s="240"/>
      <c r="DM135" s="240"/>
      <c r="DN135" s="240"/>
      <c r="DO135" s="240"/>
      <c r="DP135" s="240"/>
      <c r="DQ135" s="240"/>
      <c r="DR135" s="238"/>
      <c r="DS135" s="240"/>
      <c r="DT135" s="240"/>
      <c r="DU135" s="240"/>
      <c r="DV135" s="238"/>
      <c r="DW135" s="240"/>
      <c r="DX135" s="240"/>
      <c r="DY135" s="240"/>
      <c r="DZ135" s="240"/>
      <c r="EA135" s="240"/>
      <c r="EB135" s="240"/>
      <c r="EC135" s="240"/>
      <c r="ED135" s="240"/>
      <c r="EE135" s="240"/>
      <c r="EF135" s="238"/>
      <c r="EG135" s="240"/>
      <c r="EH135" s="240"/>
      <c r="EI135" s="240"/>
      <c r="EJ135" s="238"/>
      <c r="EK135" s="240"/>
      <c r="EL135" s="238"/>
      <c r="EM135" s="240"/>
      <c r="EN135" s="240"/>
      <c r="EO135" s="240"/>
      <c r="EP135" s="240"/>
      <c r="EQ135" s="240"/>
      <c r="ER135" s="240"/>
      <c r="ES135" s="240"/>
      <c r="ET135" s="240"/>
      <c r="EU135" s="240"/>
      <c r="EV135" s="240"/>
      <c r="EW135" s="240"/>
      <c r="EX135" s="238"/>
      <c r="EY135" s="240"/>
      <c r="EZ135" s="240"/>
      <c r="FA135" s="240"/>
      <c r="FB135" s="240"/>
      <c r="FC135" s="240"/>
      <c r="FD135" s="240"/>
      <c r="FE135" s="240"/>
      <c r="FF135" s="240"/>
      <c r="FG135" s="240"/>
      <c r="FH135" s="240"/>
      <c r="FI135" s="240"/>
      <c r="FJ135" s="240"/>
      <c r="FK135" s="240"/>
      <c r="FL135" s="240"/>
      <c r="FM135" s="240"/>
      <c r="FN135" s="240"/>
      <c r="FO135" s="238"/>
      <c r="FP135" s="240"/>
      <c r="FQ135" s="240"/>
      <c r="FR135" s="240"/>
      <c r="FS135" s="240"/>
      <c r="FT135" s="240"/>
      <c r="FU135" s="240"/>
      <c r="FV135" s="240"/>
      <c r="FW135" s="240"/>
      <c r="FX135" s="240"/>
      <c r="FY135" s="240"/>
      <c r="FZ135" s="238"/>
      <c r="GA135" s="240"/>
      <c r="GB135" s="240"/>
      <c r="GC135" s="238"/>
      <c r="GD135" s="240"/>
      <c r="GE135" s="240"/>
      <c r="GF135" s="240"/>
      <c r="GG135" s="240"/>
      <c r="GH135" s="238"/>
      <c r="GI135" s="240"/>
      <c r="GJ135" s="240"/>
      <c r="GK135" s="240"/>
      <c r="GL135" s="240"/>
      <c r="GM135" s="238"/>
      <c r="GN135" s="240"/>
      <c r="GO135" s="240"/>
      <c r="GP135" s="240"/>
      <c r="GQ135" s="240"/>
      <c r="GR135" s="240"/>
      <c r="GS135" s="240"/>
      <c r="GT135" s="240"/>
      <c r="GU135" s="240"/>
      <c r="GV135" s="240"/>
      <c r="GW135" s="240"/>
      <c r="GX135" s="240"/>
      <c r="GY135" s="240"/>
      <c r="GZ135" s="240"/>
      <c r="HA135" s="240"/>
      <c r="HB135" s="240"/>
      <c r="HC135" s="240"/>
      <c r="HD135" s="238"/>
      <c r="HE135" s="240"/>
      <c r="HF135" s="240"/>
      <c r="HG135" s="240"/>
      <c r="HH135" s="240"/>
      <c r="HI135" s="240"/>
      <c r="HJ135" s="238"/>
      <c r="HK135" s="240"/>
      <c r="HL135" s="238"/>
      <c r="HM135" s="241"/>
      <c r="HN135" s="235"/>
      <c r="HO135" s="235"/>
      <c r="HP135" s="235"/>
      <c r="HQ135" s="235"/>
    </row>
    <row r="136" spans="2:225" ht="37.5" hidden="1" outlineLevel="3">
      <c r="B136" s="251" t="s">
        <v>1789</v>
      </c>
      <c r="C136" s="252" t="str">
        <f>IF(E134='3. Dropdowns'!C113,"Hide",IF(E66='3. Dropdowns'!C111,"Hide","Show"))</f>
        <v>Show</v>
      </c>
      <c r="D136" s="283" t="s">
        <v>3232</v>
      </c>
      <c r="E136" s="248"/>
      <c r="F136" s="284" t="str">
        <f>IF(E136='3. Dropdowns'!C115,"","Submittals, Execution")</f>
        <v>Submittals, Execution</v>
      </c>
      <c r="G136" s="268"/>
      <c r="H136" s="238"/>
      <c r="I136" s="239" t="s">
        <v>890</v>
      </c>
      <c r="J136" s="240"/>
      <c r="K136" s="240"/>
      <c r="L136" s="240"/>
      <c r="M136" s="240"/>
      <c r="N136" s="240"/>
      <c r="O136" s="240"/>
      <c r="P136" s="240"/>
      <c r="Q136" s="240"/>
      <c r="R136" s="240"/>
      <c r="S136" s="240"/>
      <c r="T136" s="240" t="s">
        <v>890</v>
      </c>
      <c r="U136" s="240"/>
      <c r="V136" s="240"/>
      <c r="W136" s="240"/>
      <c r="X136" s="238"/>
      <c r="Y136" s="240"/>
      <c r="Z136" s="240"/>
      <c r="AA136" s="240"/>
      <c r="AB136" s="240"/>
      <c r="AC136" s="240"/>
      <c r="AD136" s="240"/>
      <c r="AE136" s="240"/>
      <c r="AF136" s="240"/>
      <c r="AG136" s="240"/>
      <c r="AH136" s="238"/>
      <c r="AI136" s="240"/>
      <c r="AJ136" s="240"/>
      <c r="AK136" s="240"/>
      <c r="AL136" s="240"/>
      <c r="AM136" s="238"/>
      <c r="AN136" s="240"/>
      <c r="AO136" s="240"/>
      <c r="AP136" s="240"/>
      <c r="AQ136" s="238"/>
      <c r="AR136" s="240"/>
      <c r="AS136" s="240"/>
      <c r="AT136" s="240"/>
      <c r="AU136" s="240"/>
      <c r="AV136" s="240"/>
      <c r="AW136" s="240"/>
      <c r="AX136" s="240"/>
      <c r="AY136" s="240"/>
      <c r="AZ136" s="238"/>
      <c r="BA136" s="240"/>
      <c r="BB136" s="240"/>
      <c r="BC136" s="240"/>
      <c r="BD136" s="240"/>
      <c r="BE136" s="240"/>
      <c r="BF136" s="240"/>
      <c r="BG136" s="240"/>
      <c r="BH136" s="240"/>
      <c r="BI136" s="240"/>
      <c r="BJ136" s="240"/>
      <c r="BK136" s="240"/>
      <c r="BL136" s="240"/>
      <c r="BM136" s="240"/>
      <c r="BN136" s="240"/>
      <c r="BO136" s="240"/>
      <c r="BP136" s="238"/>
      <c r="BQ136" s="240"/>
      <c r="BR136" s="240"/>
      <c r="BS136" s="240"/>
      <c r="BT136" s="240"/>
      <c r="BU136" s="240"/>
      <c r="BV136" s="240"/>
      <c r="BW136" s="240"/>
      <c r="BX136" s="240"/>
      <c r="BY136" s="240"/>
      <c r="BZ136" s="240"/>
      <c r="CA136" s="240"/>
      <c r="CB136" s="240"/>
      <c r="CC136" s="240"/>
      <c r="CD136" s="240"/>
      <c r="CE136" s="240"/>
      <c r="CF136" s="238"/>
      <c r="CG136" s="240"/>
      <c r="CH136" s="240"/>
      <c r="CI136" s="240"/>
      <c r="CJ136" s="240"/>
      <c r="CK136" s="240"/>
      <c r="CL136" s="240"/>
      <c r="CM136" s="240"/>
      <c r="CN136" s="240"/>
      <c r="CO136" s="240"/>
      <c r="CP136" s="240"/>
      <c r="CQ136" s="240"/>
      <c r="CR136" s="240"/>
      <c r="CS136" s="238"/>
      <c r="CT136" s="240"/>
      <c r="CU136" s="240"/>
      <c r="CV136" s="240"/>
      <c r="CW136" s="240"/>
      <c r="CX136" s="240"/>
      <c r="CY136" s="240"/>
      <c r="CZ136" s="240"/>
      <c r="DA136" s="240"/>
      <c r="DB136" s="240"/>
      <c r="DC136" s="240"/>
      <c r="DD136" s="240"/>
      <c r="DE136" s="240"/>
      <c r="DF136" s="238"/>
      <c r="DG136" s="240"/>
      <c r="DH136" s="240"/>
      <c r="DI136" s="240"/>
      <c r="DJ136" s="240"/>
      <c r="DK136" s="240"/>
      <c r="DL136" s="240"/>
      <c r="DM136" s="240"/>
      <c r="DN136" s="240"/>
      <c r="DO136" s="240"/>
      <c r="DP136" s="240"/>
      <c r="DQ136" s="240"/>
      <c r="DR136" s="238"/>
      <c r="DS136" s="240"/>
      <c r="DT136" s="240"/>
      <c r="DU136" s="240"/>
      <c r="DV136" s="238"/>
      <c r="DW136" s="240"/>
      <c r="DX136" s="240"/>
      <c r="DY136" s="240"/>
      <c r="DZ136" s="240"/>
      <c r="EA136" s="240"/>
      <c r="EB136" s="240"/>
      <c r="EC136" s="240"/>
      <c r="ED136" s="240"/>
      <c r="EE136" s="240"/>
      <c r="EF136" s="238"/>
      <c r="EG136" s="240"/>
      <c r="EH136" s="240"/>
      <c r="EI136" s="240"/>
      <c r="EJ136" s="238"/>
      <c r="EK136" s="240"/>
      <c r="EL136" s="238"/>
      <c r="EM136" s="240"/>
      <c r="EN136" s="240"/>
      <c r="EO136" s="240"/>
      <c r="EP136" s="240"/>
      <c r="EQ136" s="240"/>
      <c r="ER136" s="240"/>
      <c r="ES136" s="240"/>
      <c r="ET136" s="240"/>
      <c r="EU136" s="240"/>
      <c r="EV136" s="240"/>
      <c r="EW136" s="240"/>
      <c r="EX136" s="238"/>
      <c r="EY136" s="240"/>
      <c r="EZ136" s="240"/>
      <c r="FA136" s="240"/>
      <c r="FB136" s="240"/>
      <c r="FC136" s="240"/>
      <c r="FD136" s="240"/>
      <c r="FE136" s="240"/>
      <c r="FF136" s="240"/>
      <c r="FG136" s="240"/>
      <c r="FH136" s="240"/>
      <c r="FI136" s="240"/>
      <c r="FJ136" s="240"/>
      <c r="FK136" s="240"/>
      <c r="FL136" s="240"/>
      <c r="FM136" s="240"/>
      <c r="FN136" s="240"/>
      <c r="FO136" s="238"/>
      <c r="FP136" s="240"/>
      <c r="FQ136" s="240"/>
      <c r="FR136" s="240"/>
      <c r="FS136" s="240"/>
      <c r="FT136" s="240"/>
      <c r="FU136" s="240"/>
      <c r="FV136" s="240"/>
      <c r="FW136" s="240"/>
      <c r="FX136" s="240" t="s">
        <v>890</v>
      </c>
      <c r="FY136" s="240"/>
      <c r="FZ136" s="238"/>
      <c r="GA136" s="240"/>
      <c r="GB136" s="240"/>
      <c r="GC136" s="238"/>
      <c r="GD136" s="240"/>
      <c r="GE136" s="240"/>
      <c r="GF136" s="240"/>
      <c r="GG136" s="240"/>
      <c r="GH136" s="238"/>
      <c r="GI136" s="240"/>
      <c r="GJ136" s="240"/>
      <c r="GK136" s="240"/>
      <c r="GL136" s="240"/>
      <c r="GM136" s="238"/>
      <c r="GN136" s="240"/>
      <c r="GO136" s="240"/>
      <c r="GP136" s="240"/>
      <c r="GQ136" s="240"/>
      <c r="GR136" s="240"/>
      <c r="GS136" s="240"/>
      <c r="GT136" s="240"/>
      <c r="GU136" s="240"/>
      <c r="GV136" s="240"/>
      <c r="GW136" s="240"/>
      <c r="GX136" s="240"/>
      <c r="GY136" s="240"/>
      <c r="GZ136" s="240"/>
      <c r="HA136" s="240"/>
      <c r="HB136" s="240"/>
      <c r="HC136" s="240"/>
      <c r="HD136" s="238"/>
      <c r="HE136" s="240"/>
      <c r="HF136" s="240"/>
      <c r="HG136" s="240"/>
      <c r="HH136" s="240"/>
      <c r="HI136" s="240"/>
      <c r="HJ136" s="238"/>
      <c r="HK136" s="240"/>
      <c r="HL136" s="238"/>
      <c r="HM136" s="241"/>
      <c r="HN136" s="235"/>
      <c r="HO136" s="235"/>
      <c r="HP136" s="235"/>
      <c r="HQ136" s="235"/>
    </row>
    <row r="137" spans="2:225" ht="37.5" hidden="1" outlineLevel="3">
      <c r="B137" s="251" t="s">
        <v>1789</v>
      </c>
      <c r="C137" s="252" t="str">
        <f>IF(E134='3. Dropdowns'!C113,"Hide",IF(E66='3. Dropdowns'!C111,"Hide","Show"))</f>
        <v>Show</v>
      </c>
      <c r="D137" s="283" t="s">
        <v>3233</v>
      </c>
      <c r="E137" s="248"/>
      <c r="F137" s="284" t="str">
        <f>IF(E137='3. Dropdowns'!C115,"","Submittals, Products, Execution")</f>
        <v>Submittals, Products, Execution</v>
      </c>
      <c r="G137" s="268"/>
      <c r="H137" s="238"/>
      <c r="I137" s="239" t="s">
        <v>890</v>
      </c>
      <c r="J137" s="240"/>
      <c r="K137" s="240"/>
      <c r="L137" s="240"/>
      <c r="M137" s="240"/>
      <c r="N137" s="240"/>
      <c r="O137" s="240"/>
      <c r="P137" s="240"/>
      <c r="Q137" s="240"/>
      <c r="R137" s="240"/>
      <c r="S137" s="240"/>
      <c r="T137" s="240" t="s">
        <v>890</v>
      </c>
      <c r="U137" s="240"/>
      <c r="V137" s="240"/>
      <c r="W137" s="240"/>
      <c r="X137" s="238"/>
      <c r="Y137" s="240"/>
      <c r="Z137" s="240"/>
      <c r="AA137" s="240"/>
      <c r="AB137" s="240"/>
      <c r="AC137" s="240"/>
      <c r="AD137" s="240"/>
      <c r="AE137" s="240"/>
      <c r="AF137" s="240"/>
      <c r="AG137" s="240"/>
      <c r="AH137" s="238"/>
      <c r="AI137" s="240"/>
      <c r="AJ137" s="240"/>
      <c r="AK137" s="240"/>
      <c r="AL137" s="240"/>
      <c r="AM137" s="238"/>
      <c r="AN137" s="240"/>
      <c r="AO137" s="240"/>
      <c r="AP137" s="240"/>
      <c r="AQ137" s="238"/>
      <c r="AR137" s="240"/>
      <c r="AS137" s="240"/>
      <c r="AT137" s="240"/>
      <c r="AU137" s="240"/>
      <c r="AV137" s="240"/>
      <c r="AW137" s="240"/>
      <c r="AX137" s="240"/>
      <c r="AY137" s="240"/>
      <c r="AZ137" s="238"/>
      <c r="BA137" s="240"/>
      <c r="BB137" s="240"/>
      <c r="BC137" s="240"/>
      <c r="BD137" s="240"/>
      <c r="BE137" s="240"/>
      <c r="BF137" s="240"/>
      <c r="BG137" s="240"/>
      <c r="BH137" s="240"/>
      <c r="BI137" s="240"/>
      <c r="BJ137" s="240"/>
      <c r="BK137" s="240"/>
      <c r="BL137" s="240"/>
      <c r="BM137" s="240"/>
      <c r="BN137" s="240"/>
      <c r="BO137" s="240"/>
      <c r="BP137" s="238"/>
      <c r="BQ137" s="240"/>
      <c r="BR137" s="240"/>
      <c r="BS137" s="240"/>
      <c r="BT137" s="240"/>
      <c r="BU137" s="240"/>
      <c r="BV137" s="240"/>
      <c r="BW137" s="240"/>
      <c r="BX137" s="240"/>
      <c r="BY137" s="240"/>
      <c r="BZ137" s="240"/>
      <c r="CA137" s="240"/>
      <c r="CB137" s="240"/>
      <c r="CC137" s="240"/>
      <c r="CD137" s="240"/>
      <c r="CE137" s="240"/>
      <c r="CF137" s="238"/>
      <c r="CG137" s="240"/>
      <c r="CH137" s="240"/>
      <c r="CI137" s="240"/>
      <c r="CJ137" s="240"/>
      <c r="CK137" s="240"/>
      <c r="CL137" s="240"/>
      <c r="CM137" s="240"/>
      <c r="CN137" s="240"/>
      <c r="CO137" s="240"/>
      <c r="CP137" s="240"/>
      <c r="CQ137" s="240"/>
      <c r="CR137" s="240"/>
      <c r="CS137" s="238"/>
      <c r="CT137" s="240"/>
      <c r="CU137" s="240"/>
      <c r="CV137" s="240"/>
      <c r="CW137" s="240"/>
      <c r="CX137" s="240"/>
      <c r="CY137" s="240"/>
      <c r="CZ137" s="240"/>
      <c r="DA137" s="240"/>
      <c r="DB137" s="240"/>
      <c r="DC137" s="240"/>
      <c r="DD137" s="240"/>
      <c r="DE137" s="240"/>
      <c r="DF137" s="238"/>
      <c r="DG137" s="240"/>
      <c r="DH137" s="240"/>
      <c r="DI137" s="240"/>
      <c r="DJ137" s="240"/>
      <c r="DK137" s="240"/>
      <c r="DL137" s="240"/>
      <c r="DM137" s="240"/>
      <c r="DN137" s="240"/>
      <c r="DO137" s="240"/>
      <c r="DP137" s="240"/>
      <c r="DQ137" s="240"/>
      <c r="DR137" s="238"/>
      <c r="DS137" s="240"/>
      <c r="DT137" s="240"/>
      <c r="DU137" s="240"/>
      <c r="DV137" s="238"/>
      <c r="DW137" s="240"/>
      <c r="DX137" s="240"/>
      <c r="DY137" s="240"/>
      <c r="DZ137" s="240"/>
      <c r="EA137" s="240"/>
      <c r="EB137" s="240"/>
      <c r="EC137" s="240"/>
      <c r="ED137" s="240"/>
      <c r="EE137" s="240"/>
      <c r="EF137" s="238"/>
      <c r="EG137" s="240"/>
      <c r="EH137" s="240"/>
      <c r="EI137" s="240"/>
      <c r="EJ137" s="238"/>
      <c r="EK137" s="240"/>
      <c r="EL137" s="238"/>
      <c r="EM137" s="240"/>
      <c r="EN137" s="240"/>
      <c r="EO137" s="240"/>
      <c r="EP137" s="240"/>
      <c r="EQ137" s="240"/>
      <c r="ER137" s="240"/>
      <c r="ES137" s="240"/>
      <c r="ET137" s="240"/>
      <c r="EU137" s="240"/>
      <c r="EV137" s="240"/>
      <c r="EW137" s="240"/>
      <c r="EX137" s="238"/>
      <c r="EY137" s="240"/>
      <c r="EZ137" s="240"/>
      <c r="FA137" s="240"/>
      <c r="FB137" s="240"/>
      <c r="FC137" s="240"/>
      <c r="FD137" s="240"/>
      <c r="FE137" s="240"/>
      <c r="FF137" s="240"/>
      <c r="FG137" s="240"/>
      <c r="FH137" s="240"/>
      <c r="FI137" s="240"/>
      <c r="FJ137" s="240"/>
      <c r="FK137" s="240"/>
      <c r="FL137" s="240"/>
      <c r="FM137" s="240"/>
      <c r="FN137" s="240"/>
      <c r="FO137" s="238"/>
      <c r="FP137" s="240"/>
      <c r="FQ137" s="240"/>
      <c r="FR137" s="240"/>
      <c r="FS137" s="240"/>
      <c r="FT137" s="240"/>
      <c r="FU137" s="240"/>
      <c r="FV137" s="240"/>
      <c r="FW137" s="240"/>
      <c r="FX137" s="240" t="s">
        <v>890</v>
      </c>
      <c r="FY137" s="240"/>
      <c r="FZ137" s="238"/>
      <c r="GA137" s="240"/>
      <c r="GB137" s="240"/>
      <c r="GC137" s="238"/>
      <c r="GD137" s="240"/>
      <c r="GE137" s="240"/>
      <c r="GF137" s="240"/>
      <c r="GG137" s="240"/>
      <c r="GH137" s="238"/>
      <c r="GI137" s="240"/>
      <c r="GJ137" s="240"/>
      <c r="GK137" s="240"/>
      <c r="GL137" s="240"/>
      <c r="GM137" s="238"/>
      <c r="GN137" s="240"/>
      <c r="GO137" s="240"/>
      <c r="GP137" s="240"/>
      <c r="GQ137" s="240"/>
      <c r="GR137" s="240"/>
      <c r="GS137" s="240"/>
      <c r="GT137" s="240"/>
      <c r="GU137" s="240"/>
      <c r="GV137" s="240"/>
      <c r="GW137" s="240"/>
      <c r="GX137" s="240"/>
      <c r="GY137" s="240"/>
      <c r="GZ137" s="240"/>
      <c r="HA137" s="240"/>
      <c r="HB137" s="240"/>
      <c r="HC137" s="240"/>
      <c r="HD137" s="238"/>
      <c r="HE137" s="240"/>
      <c r="HF137" s="240"/>
      <c r="HG137" s="240"/>
      <c r="HH137" s="240"/>
      <c r="HI137" s="240"/>
      <c r="HJ137" s="238"/>
      <c r="HK137" s="240"/>
      <c r="HL137" s="238"/>
      <c r="HM137" s="241"/>
      <c r="HN137" s="235"/>
      <c r="HO137" s="235"/>
      <c r="HP137" s="235"/>
      <c r="HQ137" s="235"/>
    </row>
    <row r="138" spans="2:225" ht="37.5" hidden="1" outlineLevel="3">
      <c r="B138" s="251" t="s">
        <v>1789</v>
      </c>
      <c r="C138" s="252" t="str">
        <f>IF(E134='3. Dropdowns'!C113,"Hide",IF(E66='3. Dropdowns'!C111,"Hide","Show"))</f>
        <v>Show</v>
      </c>
      <c r="D138" s="283" t="s">
        <v>3234</v>
      </c>
      <c r="E138" s="248"/>
      <c r="F138" s="284" t="str">
        <f>IF(E138='3. Dropdowns'!C115,"","Submittals, Execution")</f>
        <v>Submittals, Execution</v>
      </c>
      <c r="G138" s="268"/>
      <c r="H138" s="238"/>
      <c r="I138" s="239" t="s">
        <v>890</v>
      </c>
      <c r="J138" s="240"/>
      <c r="K138" s="240"/>
      <c r="L138" s="240"/>
      <c r="M138" s="240"/>
      <c r="N138" s="240"/>
      <c r="O138" s="240"/>
      <c r="P138" s="240"/>
      <c r="Q138" s="240"/>
      <c r="R138" s="240"/>
      <c r="S138" s="240"/>
      <c r="T138" s="240" t="s">
        <v>890</v>
      </c>
      <c r="U138" s="240"/>
      <c r="V138" s="240"/>
      <c r="W138" s="240"/>
      <c r="X138" s="238"/>
      <c r="Y138" s="240"/>
      <c r="Z138" s="240"/>
      <c r="AA138" s="240"/>
      <c r="AB138" s="240"/>
      <c r="AC138" s="240"/>
      <c r="AD138" s="240"/>
      <c r="AE138" s="240"/>
      <c r="AF138" s="240"/>
      <c r="AG138" s="240"/>
      <c r="AH138" s="238"/>
      <c r="AI138" s="240"/>
      <c r="AJ138" s="240"/>
      <c r="AK138" s="240"/>
      <c r="AL138" s="240"/>
      <c r="AM138" s="238"/>
      <c r="AN138" s="240"/>
      <c r="AO138" s="240"/>
      <c r="AP138" s="240"/>
      <c r="AQ138" s="238"/>
      <c r="AR138" s="240"/>
      <c r="AS138" s="240"/>
      <c r="AT138" s="240"/>
      <c r="AU138" s="240"/>
      <c r="AV138" s="240"/>
      <c r="AW138" s="240"/>
      <c r="AX138" s="240"/>
      <c r="AY138" s="240"/>
      <c r="AZ138" s="238"/>
      <c r="BA138" s="240"/>
      <c r="BB138" s="240"/>
      <c r="BC138" s="240"/>
      <c r="BD138" s="240"/>
      <c r="BE138" s="240"/>
      <c r="BF138" s="240"/>
      <c r="BG138" s="240"/>
      <c r="BH138" s="240"/>
      <c r="BI138" s="240"/>
      <c r="BJ138" s="240"/>
      <c r="BK138" s="240"/>
      <c r="BL138" s="240"/>
      <c r="BM138" s="240"/>
      <c r="BN138" s="240"/>
      <c r="BO138" s="240"/>
      <c r="BP138" s="238"/>
      <c r="BQ138" s="240"/>
      <c r="BR138" s="240"/>
      <c r="BS138" s="240"/>
      <c r="BT138" s="240"/>
      <c r="BU138" s="240"/>
      <c r="BV138" s="240"/>
      <c r="BW138" s="240"/>
      <c r="BX138" s="240"/>
      <c r="BY138" s="240"/>
      <c r="BZ138" s="240"/>
      <c r="CA138" s="240"/>
      <c r="CB138" s="240"/>
      <c r="CC138" s="240"/>
      <c r="CD138" s="240"/>
      <c r="CE138" s="240"/>
      <c r="CF138" s="238"/>
      <c r="CG138" s="240"/>
      <c r="CH138" s="240"/>
      <c r="CI138" s="240"/>
      <c r="CJ138" s="240"/>
      <c r="CK138" s="240"/>
      <c r="CL138" s="240"/>
      <c r="CM138" s="240"/>
      <c r="CN138" s="240"/>
      <c r="CO138" s="240"/>
      <c r="CP138" s="240"/>
      <c r="CQ138" s="240"/>
      <c r="CR138" s="240"/>
      <c r="CS138" s="238"/>
      <c r="CT138" s="240"/>
      <c r="CU138" s="240"/>
      <c r="CV138" s="240"/>
      <c r="CW138" s="240"/>
      <c r="CX138" s="240"/>
      <c r="CY138" s="240"/>
      <c r="CZ138" s="240"/>
      <c r="DA138" s="240"/>
      <c r="DB138" s="240"/>
      <c r="DC138" s="240"/>
      <c r="DD138" s="240"/>
      <c r="DE138" s="240"/>
      <c r="DF138" s="238"/>
      <c r="DG138" s="240"/>
      <c r="DH138" s="240"/>
      <c r="DI138" s="240"/>
      <c r="DJ138" s="240"/>
      <c r="DK138" s="240"/>
      <c r="DL138" s="240"/>
      <c r="DM138" s="240"/>
      <c r="DN138" s="240"/>
      <c r="DO138" s="240"/>
      <c r="DP138" s="240"/>
      <c r="DQ138" s="240"/>
      <c r="DR138" s="238"/>
      <c r="DS138" s="240"/>
      <c r="DT138" s="240"/>
      <c r="DU138" s="240"/>
      <c r="DV138" s="238"/>
      <c r="DW138" s="240"/>
      <c r="DX138" s="240"/>
      <c r="DY138" s="240"/>
      <c r="DZ138" s="240"/>
      <c r="EA138" s="240"/>
      <c r="EB138" s="240"/>
      <c r="EC138" s="240"/>
      <c r="ED138" s="240"/>
      <c r="EE138" s="240"/>
      <c r="EF138" s="238"/>
      <c r="EG138" s="240"/>
      <c r="EH138" s="240"/>
      <c r="EI138" s="240"/>
      <c r="EJ138" s="238"/>
      <c r="EK138" s="240"/>
      <c r="EL138" s="238"/>
      <c r="EM138" s="240"/>
      <c r="EN138" s="240"/>
      <c r="EO138" s="240"/>
      <c r="EP138" s="240"/>
      <c r="EQ138" s="240"/>
      <c r="ER138" s="240"/>
      <c r="ES138" s="240"/>
      <c r="ET138" s="240"/>
      <c r="EU138" s="240"/>
      <c r="EV138" s="240"/>
      <c r="EW138" s="240"/>
      <c r="EX138" s="238"/>
      <c r="EY138" s="240"/>
      <c r="EZ138" s="240"/>
      <c r="FA138" s="240"/>
      <c r="FB138" s="240"/>
      <c r="FC138" s="240"/>
      <c r="FD138" s="240"/>
      <c r="FE138" s="240"/>
      <c r="FF138" s="240"/>
      <c r="FG138" s="240"/>
      <c r="FH138" s="240"/>
      <c r="FI138" s="240"/>
      <c r="FJ138" s="240"/>
      <c r="FK138" s="240" t="s">
        <v>890</v>
      </c>
      <c r="FL138" s="240"/>
      <c r="FM138" s="240"/>
      <c r="FN138" s="240"/>
      <c r="FO138" s="238"/>
      <c r="FP138" s="240"/>
      <c r="FQ138" s="240"/>
      <c r="FR138" s="240"/>
      <c r="FS138" s="240"/>
      <c r="FT138" s="240"/>
      <c r="FU138" s="240"/>
      <c r="FV138" s="240"/>
      <c r="FW138" s="240"/>
      <c r="FX138" s="240"/>
      <c r="FY138" s="240"/>
      <c r="FZ138" s="238"/>
      <c r="GA138" s="240"/>
      <c r="GB138" s="240"/>
      <c r="GC138" s="238"/>
      <c r="GD138" s="240"/>
      <c r="GE138" s="240"/>
      <c r="GF138" s="240"/>
      <c r="GG138" s="240"/>
      <c r="GH138" s="238"/>
      <c r="GI138" s="240"/>
      <c r="GJ138" s="240"/>
      <c r="GK138" s="240"/>
      <c r="GL138" s="240"/>
      <c r="GM138" s="238"/>
      <c r="GN138" s="240"/>
      <c r="GO138" s="240"/>
      <c r="GP138" s="240"/>
      <c r="GQ138" s="240"/>
      <c r="GR138" s="240"/>
      <c r="GS138" s="240"/>
      <c r="GT138" s="240"/>
      <c r="GU138" s="240"/>
      <c r="GV138" s="240"/>
      <c r="GW138" s="240"/>
      <c r="GX138" s="240"/>
      <c r="GY138" s="240"/>
      <c r="GZ138" s="240"/>
      <c r="HA138" s="240"/>
      <c r="HB138" s="240"/>
      <c r="HC138" s="240"/>
      <c r="HD138" s="238"/>
      <c r="HE138" s="240"/>
      <c r="HF138" s="240"/>
      <c r="HG138" s="240"/>
      <c r="HH138" s="240"/>
      <c r="HI138" s="240"/>
      <c r="HJ138" s="238"/>
      <c r="HK138" s="240"/>
      <c r="HL138" s="238"/>
      <c r="HM138" s="241"/>
      <c r="HN138" s="235"/>
      <c r="HO138" s="235"/>
      <c r="HP138" s="235"/>
      <c r="HQ138" s="235"/>
    </row>
    <row r="139" spans="2:225" ht="37.5" hidden="1" outlineLevel="3">
      <c r="B139" s="251" t="s">
        <v>1789</v>
      </c>
      <c r="C139" s="252" t="str">
        <f>IF(E134='3. Dropdowns'!C113,"Hide",IF(E66='3. Dropdowns'!C111,"Hide","Show"))</f>
        <v>Show</v>
      </c>
      <c r="D139" s="283" t="s">
        <v>3235</v>
      </c>
      <c r="E139" s="248"/>
      <c r="F139" s="284" t="str">
        <f>IF(E139='3. Dropdowns'!C115,"","Submittals, Execution")</f>
        <v>Submittals, Execution</v>
      </c>
      <c r="G139" s="268"/>
      <c r="H139" s="238"/>
      <c r="I139" s="239" t="s">
        <v>890</v>
      </c>
      <c r="J139" s="240"/>
      <c r="K139" s="240"/>
      <c r="L139" s="240"/>
      <c r="M139" s="240"/>
      <c r="N139" s="240"/>
      <c r="O139" s="240"/>
      <c r="P139" s="240"/>
      <c r="Q139" s="240"/>
      <c r="R139" s="240"/>
      <c r="S139" s="240"/>
      <c r="T139" s="240" t="s">
        <v>890</v>
      </c>
      <c r="U139" s="240"/>
      <c r="V139" s="240"/>
      <c r="W139" s="240"/>
      <c r="X139" s="238"/>
      <c r="Y139" s="240"/>
      <c r="Z139" s="240"/>
      <c r="AA139" s="240"/>
      <c r="AB139" s="240"/>
      <c r="AC139" s="240"/>
      <c r="AD139" s="240"/>
      <c r="AE139" s="240"/>
      <c r="AF139" s="240"/>
      <c r="AG139" s="240"/>
      <c r="AH139" s="238"/>
      <c r="AI139" s="240"/>
      <c r="AJ139" s="240"/>
      <c r="AK139" s="240"/>
      <c r="AL139" s="240"/>
      <c r="AM139" s="238"/>
      <c r="AN139" s="240"/>
      <c r="AO139" s="240"/>
      <c r="AP139" s="240"/>
      <c r="AQ139" s="238"/>
      <c r="AR139" s="240"/>
      <c r="AS139" s="240"/>
      <c r="AT139" s="240"/>
      <c r="AU139" s="240"/>
      <c r="AV139" s="240"/>
      <c r="AW139" s="240"/>
      <c r="AX139" s="240"/>
      <c r="AY139" s="240"/>
      <c r="AZ139" s="238"/>
      <c r="BA139" s="240"/>
      <c r="BB139" s="240"/>
      <c r="BC139" s="240"/>
      <c r="BD139" s="240"/>
      <c r="BE139" s="240"/>
      <c r="BF139" s="240"/>
      <c r="BG139" s="240" t="s">
        <v>890</v>
      </c>
      <c r="BH139" s="240"/>
      <c r="BI139" s="240"/>
      <c r="BJ139" s="240"/>
      <c r="BK139" s="240"/>
      <c r="BL139" s="240"/>
      <c r="BM139" s="240"/>
      <c r="BN139" s="240"/>
      <c r="BO139" s="240"/>
      <c r="BP139" s="238"/>
      <c r="BQ139" s="240"/>
      <c r="BR139" s="240"/>
      <c r="BS139" s="240"/>
      <c r="BT139" s="240"/>
      <c r="BU139" s="240"/>
      <c r="BV139" s="240"/>
      <c r="BW139" s="240"/>
      <c r="BX139" s="240"/>
      <c r="BY139" s="240"/>
      <c r="BZ139" s="240"/>
      <c r="CA139" s="240"/>
      <c r="CB139" s="240"/>
      <c r="CC139" s="240"/>
      <c r="CD139" s="240"/>
      <c r="CE139" s="240"/>
      <c r="CF139" s="238"/>
      <c r="CG139" s="240"/>
      <c r="CH139" s="240"/>
      <c r="CI139" s="240"/>
      <c r="CJ139" s="240"/>
      <c r="CK139" s="240"/>
      <c r="CL139" s="240"/>
      <c r="CM139" s="240"/>
      <c r="CN139" s="240"/>
      <c r="CO139" s="240"/>
      <c r="CP139" s="240"/>
      <c r="CQ139" s="240"/>
      <c r="CR139" s="240"/>
      <c r="CS139" s="238"/>
      <c r="CT139" s="240"/>
      <c r="CU139" s="240"/>
      <c r="CV139" s="240"/>
      <c r="CW139" s="240"/>
      <c r="CX139" s="240"/>
      <c r="CY139" s="240"/>
      <c r="CZ139" s="240"/>
      <c r="DA139" s="240"/>
      <c r="DB139" s="240"/>
      <c r="DC139" s="240"/>
      <c r="DD139" s="240"/>
      <c r="DE139" s="240"/>
      <c r="DF139" s="238"/>
      <c r="DG139" s="240"/>
      <c r="DH139" s="240"/>
      <c r="DI139" s="240"/>
      <c r="DJ139" s="240"/>
      <c r="DK139" s="240"/>
      <c r="DL139" s="240"/>
      <c r="DM139" s="240"/>
      <c r="DN139" s="240"/>
      <c r="DO139" s="240"/>
      <c r="DP139" s="240"/>
      <c r="DQ139" s="240"/>
      <c r="DR139" s="238"/>
      <c r="DS139" s="240"/>
      <c r="DT139" s="240"/>
      <c r="DU139" s="240"/>
      <c r="DV139" s="238"/>
      <c r="DW139" s="240"/>
      <c r="DX139" s="240"/>
      <c r="DY139" s="240"/>
      <c r="DZ139" s="240"/>
      <c r="EA139" s="240"/>
      <c r="EB139" s="240"/>
      <c r="EC139" s="240"/>
      <c r="ED139" s="240"/>
      <c r="EE139" s="240"/>
      <c r="EF139" s="238"/>
      <c r="EG139" s="240"/>
      <c r="EH139" s="240"/>
      <c r="EI139" s="240"/>
      <c r="EJ139" s="238"/>
      <c r="EK139" s="240"/>
      <c r="EL139" s="238"/>
      <c r="EM139" s="240"/>
      <c r="EN139" s="240"/>
      <c r="EO139" s="240"/>
      <c r="EP139" s="240"/>
      <c r="EQ139" s="240"/>
      <c r="ER139" s="240"/>
      <c r="ES139" s="240"/>
      <c r="ET139" s="240"/>
      <c r="EU139" s="240"/>
      <c r="EV139" s="240"/>
      <c r="EW139" s="240"/>
      <c r="EX139" s="238"/>
      <c r="EY139" s="240"/>
      <c r="EZ139" s="240"/>
      <c r="FA139" s="240"/>
      <c r="FB139" s="240"/>
      <c r="FC139" s="240"/>
      <c r="FD139" s="240"/>
      <c r="FE139" s="240"/>
      <c r="FF139" s="240"/>
      <c r="FG139" s="240"/>
      <c r="FH139" s="240"/>
      <c r="FI139" s="240"/>
      <c r="FJ139" s="240"/>
      <c r="FK139" s="240"/>
      <c r="FL139" s="240"/>
      <c r="FM139" s="240"/>
      <c r="FN139" s="240"/>
      <c r="FO139" s="238"/>
      <c r="FP139" s="240"/>
      <c r="FQ139" s="240"/>
      <c r="FR139" s="240"/>
      <c r="FS139" s="240"/>
      <c r="FT139" s="240"/>
      <c r="FU139" s="240"/>
      <c r="FV139" s="240"/>
      <c r="FW139" s="240"/>
      <c r="FX139" s="240"/>
      <c r="FY139" s="240"/>
      <c r="FZ139" s="238"/>
      <c r="GA139" s="240"/>
      <c r="GB139" s="240"/>
      <c r="GC139" s="238"/>
      <c r="GD139" s="240"/>
      <c r="GE139" s="240"/>
      <c r="GF139" s="240"/>
      <c r="GG139" s="240"/>
      <c r="GH139" s="238"/>
      <c r="GI139" s="240"/>
      <c r="GJ139" s="240"/>
      <c r="GK139" s="240"/>
      <c r="GL139" s="240"/>
      <c r="GM139" s="238"/>
      <c r="GN139" s="240"/>
      <c r="GO139" s="240"/>
      <c r="GP139" s="240"/>
      <c r="GQ139" s="240"/>
      <c r="GR139" s="240"/>
      <c r="GS139" s="240"/>
      <c r="GT139" s="240"/>
      <c r="GU139" s="240"/>
      <c r="GV139" s="240"/>
      <c r="GW139" s="240"/>
      <c r="GX139" s="240"/>
      <c r="GY139" s="240"/>
      <c r="GZ139" s="240"/>
      <c r="HA139" s="240"/>
      <c r="HB139" s="240"/>
      <c r="HC139" s="240"/>
      <c r="HD139" s="238"/>
      <c r="HE139" s="240"/>
      <c r="HF139" s="240"/>
      <c r="HG139" s="240"/>
      <c r="HH139" s="240"/>
      <c r="HI139" s="240"/>
      <c r="HJ139" s="238"/>
      <c r="HK139" s="240"/>
      <c r="HL139" s="238"/>
      <c r="HM139" s="241"/>
      <c r="HN139" s="235"/>
      <c r="HO139" s="235"/>
      <c r="HP139" s="235"/>
      <c r="HQ139" s="235"/>
    </row>
    <row r="140" spans="2:225" ht="37.5" hidden="1" outlineLevel="3">
      <c r="B140" s="251" t="s">
        <v>1789</v>
      </c>
      <c r="C140" s="252" t="str">
        <f>IF(E134='3. Dropdowns'!C113,"Hide",IF(E66='3. Dropdowns'!C111,"Hide","Show"))</f>
        <v>Show</v>
      </c>
      <c r="D140" s="283" t="s">
        <v>3236</v>
      </c>
      <c r="E140" s="248"/>
      <c r="F140" s="284" t="str">
        <f>IF(E140='3. Dropdowns'!C115,"","Submittals, Execution")</f>
        <v>Submittals, Execution</v>
      </c>
      <c r="G140" s="268"/>
      <c r="H140" s="238"/>
      <c r="I140" s="239" t="s">
        <v>890</v>
      </c>
      <c r="J140" s="240"/>
      <c r="K140" s="240"/>
      <c r="L140" s="240"/>
      <c r="M140" s="240"/>
      <c r="N140" s="240"/>
      <c r="O140" s="240"/>
      <c r="P140" s="240"/>
      <c r="Q140" s="240"/>
      <c r="R140" s="240"/>
      <c r="S140" s="240"/>
      <c r="T140" s="240" t="s">
        <v>890</v>
      </c>
      <c r="U140" s="240"/>
      <c r="V140" s="240"/>
      <c r="W140" s="240"/>
      <c r="X140" s="238"/>
      <c r="Y140" s="240"/>
      <c r="Z140" s="240"/>
      <c r="AA140" s="240"/>
      <c r="AB140" s="240"/>
      <c r="AC140" s="240"/>
      <c r="AD140" s="240"/>
      <c r="AE140" s="240"/>
      <c r="AF140" s="240"/>
      <c r="AG140" s="240"/>
      <c r="AH140" s="238"/>
      <c r="AI140" s="240"/>
      <c r="AJ140" s="240"/>
      <c r="AK140" s="240"/>
      <c r="AL140" s="240"/>
      <c r="AM140" s="238"/>
      <c r="AN140" s="240"/>
      <c r="AO140" s="240"/>
      <c r="AP140" s="240"/>
      <c r="AQ140" s="238"/>
      <c r="AR140" s="240"/>
      <c r="AS140" s="240"/>
      <c r="AT140" s="240"/>
      <c r="AU140" s="240"/>
      <c r="AV140" s="240"/>
      <c r="AW140" s="240"/>
      <c r="AX140" s="240"/>
      <c r="AY140" s="240"/>
      <c r="AZ140" s="238"/>
      <c r="BA140" s="240" t="s">
        <v>890</v>
      </c>
      <c r="BB140" s="240"/>
      <c r="BC140" s="240"/>
      <c r="BD140" s="240"/>
      <c r="BE140" s="240"/>
      <c r="BF140" s="240"/>
      <c r="BG140" s="240" t="s">
        <v>890</v>
      </c>
      <c r="BH140" s="240"/>
      <c r="BI140" s="240"/>
      <c r="BJ140" s="240"/>
      <c r="BK140" s="240"/>
      <c r="BL140" s="240"/>
      <c r="BM140" s="240"/>
      <c r="BN140" s="240"/>
      <c r="BO140" s="240"/>
      <c r="BP140" s="238"/>
      <c r="BQ140" s="240"/>
      <c r="BR140" s="240"/>
      <c r="BS140" s="240"/>
      <c r="BT140" s="240"/>
      <c r="BU140" s="240"/>
      <c r="BV140" s="240"/>
      <c r="BW140" s="240"/>
      <c r="BX140" s="240"/>
      <c r="BY140" s="240"/>
      <c r="BZ140" s="240"/>
      <c r="CA140" s="240"/>
      <c r="CB140" s="240"/>
      <c r="CC140" s="240"/>
      <c r="CD140" s="240"/>
      <c r="CE140" s="240"/>
      <c r="CF140" s="238"/>
      <c r="CG140" s="240"/>
      <c r="CH140" s="240"/>
      <c r="CI140" s="240"/>
      <c r="CJ140" s="240"/>
      <c r="CK140" s="240"/>
      <c r="CL140" s="240"/>
      <c r="CM140" s="240"/>
      <c r="CN140" s="240"/>
      <c r="CO140" s="240"/>
      <c r="CP140" s="240"/>
      <c r="CQ140" s="240"/>
      <c r="CR140" s="240"/>
      <c r="CS140" s="238"/>
      <c r="CT140" s="240"/>
      <c r="CU140" s="240"/>
      <c r="CV140" s="240"/>
      <c r="CW140" s="240"/>
      <c r="CX140" s="240"/>
      <c r="CY140" s="240"/>
      <c r="CZ140" s="240"/>
      <c r="DA140" s="240"/>
      <c r="DB140" s="240"/>
      <c r="DC140" s="240"/>
      <c r="DD140" s="240"/>
      <c r="DE140" s="240"/>
      <c r="DF140" s="238"/>
      <c r="DG140" s="240"/>
      <c r="DH140" s="240"/>
      <c r="DI140" s="240"/>
      <c r="DJ140" s="240"/>
      <c r="DK140" s="240"/>
      <c r="DL140" s="240"/>
      <c r="DM140" s="240"/>
      <c r="DN140" s="240"/>
      <c r="DO140" s="240"/>
      <c r="DP140" s="240"/>
      <c r="DQ140" s="240"/>
      <c r="DR140" s="238"/>
      <c r="DS140" s="240"/>
      <c r="DT140" s="240"/>
      <c r="DU140" s="240"/>
      <c r="DV140" s="238"/>
      <c r="DW140" s="240"/>
      <c r="DX140" s="240"/>
      <c r="DY140" s="240"/>
      <c r="DZ140" s="240"/>
      <c r="EA140" s="240"/>
      <c r="EB140" s="240"/>
      <c r="EC140" s="240"/>
      <c r="ED140" s="240"/>
      <c r="EE140" s="240"/>
      <c r="EF140" s="238"/>
      <c r="EG140" s="240"/>
      <c r="EH140" s="240"/>
      <c r="EI140" s="240"/>
      <c r="EJ140" s="238"/>
      <c r="EK140" s="240"/>
      <c r="EL140" s="238"/>
      <c r="EM140" s="240"/>
      <c r="EN140" s="240"/>
      <c r="EO140" s="240"/>
      <c r="EP140" s="240"/>
      <c r="EQ140" s="240"/>
      <c r="ER140" s="240"/>
      <c r="ES140" s="240"/>
      <c r="ET140" s="240"/>
      <c r="EU140" s="240"/>
      <c r="EV140" s="240"/>
      <c r="EW140" s="240"/>
      <c r="EX140" s="238"/>
      <c r="EY140" s="240"/>
      <c r="EZ140" s="240"/>
      <c r="FA140" s="240"/>
      <c r="FB140" s="240"/>
      <c r="FC140" s="240"/>
      <c r="FD140" s="240"/>
      <c r="FE140" s="240"/>
      <c r="FF140" s="240"/>
      <c r="FG140" s="240"/>
      <c r="FH140" s="240"/>
      <c r="FI140" s="240"/>
      <c r="FJ140" s="240"/>
      <c r="FK140" s="240"/>
      <c r="FL140" s="240"/>
      <c r="FM140" s="240"/>
      <c r="FN140" s="240"/>
      <c r="FO140" s="238"/>
      <c r="FP140" s="240"/>
      <c r="FQ140" s="240"/>
      <c r="FR140" s="240"/>
      <c r="FS140" s="240"/>
      <c r="FT140" s="240"/>
      <c r="FU140" s="240"/>
      <c r="FV140" s="240"/>
      <c r="FW140" s="240"/>
      <c r="FX140" s="240"/>
      <c r="FY140" s="240"/>
      <c r="FZ140" s="238"/>
      <c r="GA140" s="240"/>
      <c r="GB140" s="240"/>
      <c r="GC140" s="238"/>
      <c r="GD140" s="240"/>
      <c r="GE140" s="240"/>
      <c r="GF140" s="240"/>
      <c r="GG140" s="240"/>
      <c r="GH140" s="238"/>
      <c r="GI140" s="240"/>
      <c r="GJ140" s="240"/>
      <c r="GK140" s="240"/>
      <c r="GL140" s="240"/>
      <c r="GM140" s="238"/>
      <c r="GN140" s="240"/>
      <c r="GO140" s="240"/>
      <c r="GP140" s="240"/>
      <c r="GQ140" s="240"/>
      <c r="GR140" s="240"/>
      <c r="GS140" s="240"/>
      <c r="GT140" s="240"/>
      <c r="GU140" s="240"/>
      <c r="GV140" s="240"/>
      <c r="GW140" s="240"/>
      <c r="GX140" s="240"/>
      <c r="GY140" s="240"/>
      <c r="GZ140" s="240"/>
      <c r="HA140" s="240"/>
      <c r="HB140" s="240"/>
      <c r="HC140" s="240"/>
      <c r="HD140" s="238"/>
      <c r="HE140" s="240"/>
      <c r="HF140" s="240"/>
      <c r="HG140" s="240"/>
      <c r="HH140" s="240"/>
      <c r="HI140" s="240"/>
      <c r="HJ140" s="238"/>
      <c r="HK140" s="240"/>
      <c r="HL140" s="238"/>
      <c r="HM140" s="241"/>
      <c r="HN140" s="235"/>
      <c r="HO140" s="235"/>
      <c r="HP140" s="235"/>
      <c r="HQ140" s="235"/>
    </row>
    <row r="141" spans="2:225" hidden="1" outlineLevel="1" collapsed="1">
      <c r="B141" s="251" t="s">
        <v>413</v>
      </c>
      <c r="C141" s="252" t="str">
        <f>IF('1. Criteria &amp; Spec Matrix'!E20='3. Dropdowns'!C42,"Hide","Show")</f>
        <v>Show</v>
      </c>
      <c r="D141" s="236" t="s">
        <v>3237</v>
      </c>
      <c r="E141" s="248"/>
      <c r="F141" s="284" t="str">
        <f>IF(E141='3. Dropdowns'!C117,"","Submittals, Products, Execution")</f>
        <v>Submittals, Products, Execution</v>
      </c>
      <c r="G141" s="268"/>
      <c r="H141" s="238"/>
      <c r="I141" s="239" t="s">
        <v>890</v>
      </c>
      <c r="J141" s="240" t="s">
        <v>890</v>
      </c>
      <c r="K141" s="240"/>
      <c r="L141" s="240"/>
      <c r="M141" s="240"/>
      <c r="N141" s="240"/>
      <c r="O141" s="240"/>
      <c r="P141" s="240"/>
      <c r="Q141" s="240"/>
      <c r="R141" s="240"/>
      <c r="S141" s="240"/>
      <c r="T141" s="240" t="s">
        <v>890</v>
      </c>
      <c r="U141" s="240"/>
      <c r="V141" s="240"/>
      <c r="W141" s="240"/>
      <c r="X141" s="238"/>
      <c r="Y141" s="240"/>
      <c r="Z141" s="240"/>
      <c r="AA141" s="240"/>
      <c r="AB141" s="240"/>
      <c r="AC141" s="240"/>
      <c r="AD141" s="240"/>
      <c r="AE141" s="240"/>
      <c r="AF141" s="240"/>
      <c r="AG141" s="240"/>
      <c r="AH141" s="238"/>
      <c r="AI141" s="240"/>
      <c r="AJ141" s="240"/>
      <c r="AK141" s="240"/>
      <c r="AL141" s="240"/>
      <c r="AM141" s="238"/>
      <c r="AN141" s="240"/>
      <c r="AO141" s="240"/>
      <c r="AP141" s="240"/>
      <c r="AQ141" s="238"/>
      <c r="AR141" s="240"/>
      <c r="AS141" s="240"/>
      <c r="AT141" s="240"/>
      <c r="AU141" s="240"/>
      <c r="AV141" s="240"/>
      <c r="AW141" s="240"/>
      <c r="AX141" s="240"/>
      <c r="AY141" s="240"/>
      <c r="AZ141" s="238"/>
      <c r="BA141" s="240" t="s">
        <v>890</v>
      </c>
      <c r="BB141" s="240" t="s">
        <v>890</v>
      </c>
      <c r="BC141" s="240"/>
      <c r="BD141" s="240"/>
      <c r="BE141" s="240" t="s">
        <v>890</v>
      </c>
      <c r="BF141" s="240"/>
      <c r="BG141" s="240"/>
      <c r="BH141" s="240" t="s">
        <v>890</v>
      </c>
      <c r="BI141" s="240"/>
      <c r="BJ141" s="240"/>
      <c r="BK141" s="240"/>
      <c r="BL141" s="240"/>
      <c r="BM141" s="240"/>
      <c r="BN141" s="240" t="s">
        <v>890</v>
      </c>
      <c r="BO141" s="240"/>
      <c r="BP141" s="238"/>
      <c r="BQ141" s="240"/>
      <c r="BR141" s="240"/>
      <c r="BS141" s="240" t="s">
        <v>890</v>
      </c>
      <c r="BT141" s="240" t="s">
        <v>890</v>
      </c>
      <c r="BU141" s="240"/>
      <c r="BV141" s="240"/>
      <c r="BW141" s="240"/>
      <c r="BX141" s="240"/>
      <c r="BY141" s="240" t="s">
        <v>890</v>
      </c>
      <c r="BZ141" s="240" t="s">
        <v>890</v>
      </c>
      <c r="CA141" s="240"/>
      <c r="CB141" s="240"/>
      <c r="CC141" s="240"/>
      <c r="CD141" s="240"/>
      <c r="CE141" s="240"/>
      <c r="CF141" s="238"/>
      <c r="CG141" s="240"/>
      <c r="CH141" s="240"/>
      <c r="CI141" s="240"/>
      <c r="CJ141" s="240"/>
      <c r="CK141" s="240"/>
      <c r="CL141" s="240"/>
      <c r="CM141" s="240"/>
      <c r="CN141" s="240"/>
      <c r="CO141" s="240"/>
      <c r="CP141" s="240"/>
      <c r="CQ141" s="240"/>
      <c r="CR141" s="240"/>
      <c r="CS141" s="238" t="s">
        <v>890</v>
      </c>
      <c r="CT141" s="240" t="s">
        <v>890</v>
      </c>
      <c r="CU141" s="240"/>
      <c r="CV141" s="240"/>
      <c r="CW141" s="240"/>
      <c r="CX141" s="240"/>
      <c r="CY141" s="240"/>
      <c r="CZ141" s="240"/>
      <c r="DA141" s="240"/>
      <c r="DB141" s="240"/>
      <c r="DC141" s="240"/>
      <c r="DD141" s="240"/>
      <c r="DE141" s="240"/>
      <c r="DF141" s="238"/>
      <c r="DG141" s="240"/>
      <c r="DH141" s="240"/>
      <c r="DI141" s="240"/>
      <c r="DJ141" s="240"/>
      <c r="DK141" s="240"/>
      <c r="DL141" s="240"/>
      <c r="DM141" s="240"/>
      <c r="DN141" s="240" t="s">
        <v>890</v>
      </c>
      <c r="DO141" s="240"/>
      <c r="DP141" s="240"/>
      <c r="DQ141" s="240"/>
      <c r="DR141" s="238"/>
      <c r="DS141" s="240"/>
      <c r="DT141" s="240"/>
      <c r="DU141" s="240"/>
      <c r="DV141" s="238"/>
      <c r="DW141" s="240"/>
      <c r="DX141" s="240"/>
      <c r="DY141" s="240"/>
      <c r="DZ141" s="240"/>
      <c r="EA141" s="240"/>
      <c r="EB141" s="240"/>
      <c r="EC141" s="240"/>
      <c r="ED141" s="240"/>
      <c r="EE141" s="240"/>
      <c r="EF141" s="238"/>
      <c r="EG141" s="240"/>
      <c r="EH141" s="240"/>
      <c r="EI141" s="240"/>
      <c r="EJ141" s="238"/>
      <c r="EK141" s="240"/>
      <c r="EL141" s="238" t="s">
        <v>890</v>
      </c>
      <c r="EM141" s="240"/>
      <c r="EN141" s="240"/>
      <c r="EO141" s="240"/>
      <c r="EP141" s="240"/>
      <c r="EQ141" s="240" t="s">
        <v>890</v>
      </c>
      <c r="ER141" s="240" t="s">
        <v>890</v>
      </c>
      <c r="ES141" s="240"/>
      <c r="ET141" s="240"/>
      <c r="EU141" s="240"/>
      <c r="EV141" s="240"/>
      <c r="EW141" s="240"/>
      <c r="EX141" s="238" t="s">
        <v>890</v>
      </c>
      <c r="EY141" s="240"/>
      <c r="EZ141" s="240"/>
      <c r="FA141" s="240"/>
      <c r="FB141" s="240"/>
      <c r="FC141" s="240"/>
      <c r="FD141" s="240"/>
      <c r="FE141" s="240"/>
      <c r="FF141" s="240"/>
      <c r="FG141" s="240"/>
      <c r="FH141" s="240"/>
      <c r="FI141" s="240"/>
      <c r="FJ141" s="240"/>
      <c r="FK141" s="240"/>
      <c r="FL141" s="240"/>
      <c r="FM141" s="240"/>
      <c r="FN141" s="240"/>
      <c r="FO141" s="238" t="s">
        <v>890</v>
      </c>
      <c r="FP141" s="240"/>
      <c r="FQ141" s="240"/>
      <c r="FR141" s="240"/>
      <c r="FS141" s="240"/>
      <c r="FT141" s="240"/>
      <c r="FU141" s="240" t="s">
        <v>890</v>
      </c>
      <c r="FV141" s="240"/>
      <c r="FW141" s="240"/>
      <c r="FX141" s="240"/>
      <c r="FY141" s="240"/>
      <c r="FZ141" s="238"/>
      <c r="GA141" s="240"/>
      <c r="GB141" s="240"/>
      <c r="GC141" s="238"/>
      <c r="GD141" s="240"/>
      <c r="GE141" s="240"/>
      <c r="GF141" s="240"/>
      <c r="GG141" s="240"/>
      <c r="GH141" s="238"/>
      <c r="GI141" s="240"/>
      <c r="GJ141" s="240"/>
      <c r="GK141" s="240"/>
      <c r="GL141" s="240"/>
      <c r="GM141" s="238"/>
      <c r="GN141" s="240"/>
      <c r="GO141" s="240"/>
      <c r="GP141" s="240"/>
      <c r="GQ141" s="240"/>
      <c r="GR141" s="240"/>
      <c r="GS141" s="240"/>
      <c r="GT141" s="240"/>
      <c r="GU141" s="240"/>
      <c r="GV141" s="240"/>
      <c r="GW141" s="240"/>
      <c r="GX141" s="240"/>
      <c r="GY141" s="240"/>
      <c r="GZ141" s="240"/>
      <c r="HA141" s="240"/>
      <c r="HB141" s="240"/>
      <c r="HC141" s="240"/>
      <c r="HD141" s="238" t="s">
        <v>890</v>
      </c>
      <c r="HE141" s="240"/>
      <c r="HF141" s="240"/>
      <c r="HG141" s="240"/>
      <c r="HH141" s="240"/>
      <c r="HI141" s="240"/>
      <c r="HJ141" s="238"/>
      <c r="HK141" s="240"/>
      <c r="HL141" s="238"/>
      <c r="HM141" s="241"/>
      <c r="HN141" s="235"/>
      <c r="HO141" s="235"/>
      <c r="HP141" s="235"/>
      <c r="HQ141" s="235"/>
    </row>
    <row r="142" spans="2:225" ht="37.5" hidden="1" outlineLevel="1">
      <c r="B142" s="251" t="s">
        <v>1790</v>
      </c>
      <c r="C142" s="252" t="str">
        <f>IF(OR(E141='3. Dropdowns'!C117,E141='3. Dropdowns'!C118,E141='3. Dropdowns'!C120),"Hide","Show")</f>
        <v>Show</v>
      </c>
      <c r="D142" s="236" t="s">
        <v>3238</v>
      </c>
      <c r="E142" s="284"/>
      <c r="F142" s="284" t="s">
        <v>540</v>
      </c>
      <c r="G142" s="268"/>
      <c r="H142" s="238"/>
      <c r="I142" s="239" t="s">
        <v>890</v>
      </c>
      <c r="J142" s="240"/>
      <c r="K142" s="240"/>
      <c r="L142" s="240"/>
      <c r="M142" s="240"/>
      <c r="N142" s="240"/>
      <c r="O142" s="240"/>
      <c r="P142" s="240"/>
      <c r="Q142" s="240"/>
      <c r="R142" s="240"/>
      <c r="S142" s="240"/>
      <c r="T142" s="240" t="s">
        <v>890</v>
      </c>
      <c r="U142" s="240"/>
      <c r="V142" s="240"/>
      <c r="W142" s="240"/>
      <c r="X142" s="238"/>
      <c r="Y142" s="240"/>
      <c r="Z142" s="240"/>
      <c r="AA142" s="240"/>
      <c r="AB142" s="240"/>
      <c r="AC142" s="240"/>
      <c r="AD142" s="240"/>
      <c r="AE142" s="240"/>
      <c r="AF142" s="240"/>
      <c r="AG142" s="240"/>
      <c r="AH142" s="238"/>
      <c r="AI142" s="240"/>
      <c r="AJ142" s="240"/>
      <c r="AK142" s="240"/>
      <c r="AL142" s="240"/>
      <c r="AM142" s="238"/>
      <c r="AN142" s="240"/>
      <c r="AO142" s="240"/>
      <c r="AP142" s="240"/>
      <c r="AQ142" s="238"/>
      <c r="AR142" s="240"/>
      <c r="AS142" s="240"/>
      <c r="AT142" s="240"/>
      <c r="AU142" s="240"/>
      <c r="AV142" s="240"/>
      <c r="AW142" s="240"/>
      <c r="AX142" s="240"/>
      <c r="AY142" s="240"/>
      <c r="AZ142" s="238"/>
      <c r="BA142" s="240" t="s">
        <v>890</v>
      </c>
      <c r="BB142" s="240" t="s">
        <v>890</v>
      </c>
      <c r="BC142" s="240"/>
      <c r="BD142" s="240"/>
      <c r="BE142" s="240"/>
      <c r="BF142" s="240"/>
      <c r="BG142" s="240"/>
      <c r="BH142" s="240" t="s">
        <v>890</v>
      </c>
      <c r="BI142" s="240"/>
      <c r="BJ142" s="240"/>
      <c r="BK142" s="240"/>
      <c r="BL142" s="240"/>
      <c r="BM142" s="240"/>
      <c r="BN142" s="240" t="s">
        <v>890</v>
      </c>
      <c r="BO142" s="240"/>
      <c r="BP142" s="238"/>
      <c r="BQ142" s="240"/>
      <c r="BR142" s="240"/>
      <c r="BS142" s="240" t="s">
        <v>890</v>
      </c>
      <c r="BT142" s="240" t="s">
        <v>890</v>
      </c>
      <c r="BU142" s="240"/>
      <c r="BV142" s="240"/>
      <c r="BW142" s="240"/>
      <c r="BX142" s="240"/>
      <c r="BY142" s="240" t="s">
        <v>890</v>
      </c>
      <c r="BZ142" s="240" t="s">
        <v>890</v>
      </c>
      <c r="CA142" s="240"/>
      <c r="CB142" s="240"/>
      <c r="CC142" s="240"/>
      <c r="CD142" s="240"/>
      <c r="CE142" s="240"/>
      <c r="CF142" s="238"/>
      <c r="CG142" s="240"/>
      <c r="CH142" s="240"/>
      <c r="CI142" s="240"/>
      <c r="CJ142" s="240"/>
      <c r="CK142" s="240"/>
      <c r="CL142" s="240"/>
      <c r="CM142" s="240"/>
      <c r="CN142" s="240"/>
      <c r="CO142" s="240"/>
      <c r="CP142" s="240"/>
      <c r="CQ142" s="240"/>
      <c r="CR142" s="240"/>
      <c r="CS142" s="238" t="s">
        <v>890</v>
      </c>
      <c r="CT142" s="240" t="s">
        <v>890</v>
      </c>
      <c r="CU142" s="240"/>
      <c r="CV142" s="240"/>
      <c r="CW142" s="240"/>
      <c r="CX142" s="240"/>
      <c r="CY142" s="240"/>
      <c r="CZ142" s="240"/>
      <c r="DA142" s="240"/>
      <c r="DB142" s="240"/>
      <c r="DC142" s="240"/>
      <c r="DD142" s="240"/>
      <c r="DE142" s="240"/>
      <c r="DF142" s="238"/>
      <c r="DG142" s="240"/>
      <c r="DH142" s="240"/>
      <c r="DI142" s="240"/>
      <c r="DJ142" s="240"/>
      <c r="DK142" s="240"/>
      <c r="DL142" s="240"/>
      <c r="DM142" s="240"/>
      <c r="DN142" s="240"/>
      <c r="DO142" s="240"/>
      <c r="DP142" s="240"/>
      <c r="DQ142" s="240"/>
      <c r="DR142" s="238"/>
      <c r="DS142" s="240"/>
      <c r="DT142" s="240"/>
      <c r="DU142" s="240"/>
      <c r="DV142" s="238"/>
      <c r="DW142" s="240"/>
      <c r="DX142" s="240"/>
      <c r="DY142" s="240"/>
      <c r="DZ142" s="240"/>
      <c r="EA142" s="240"/>
      <c r="EB142" s="240"/>
      <c r="EC142" s="240"/>
      <c r="ED142" s="240"/>
      <c r="EE142" s="240"/>
      <c r="EF142" s="238"/>
      <c r="EG142" s="240"/>
      <c r="EH142" s="240"/>
      <c r="EI142" s="240"/>
      <c r="EJ142" s="238"/>
      <c r="EK142" s="240"/>
      <c r="EL142" s="238"/>
      <c r="EM142" s="240"/>
      <c r="EN142" s="240"/>
      <c r="EO142" s="240"/>
      <c r="EP142" s="240"/>
      <c r="EQ142" s="240"/>
      <c r="ER142" s="240"/>
      <c r="ES142" s="240"/>
      <c r="ET142" s="240"/>
      <c r="EU142" s="240"/>
      <c r="EV142" s="240"/>
      <c r="EW142" s="240"/>
      <c r="EX142" s="238"/>
      <c r="EY142" s="240"/>
      <c r="EZ142" s="240"/>
      <c r="FA142" s="240"/>
      <c r="FB142" s="240"/>
      <c r="FC142" s="240"/>
      <c r="FD142" s="240"/>
      <c r="FE142" s="240"/>
      <c r="FF142" s="240"/>
      <c r="FG142" s="240"/>
      <c r="FH142" s="240"/>
      <c r="FI142" s="240"/>
      <c r="FJ142" s="240"/>
      <c r="FK142" s="240"/>
      <c r="FL142" s="240"/>
      <c r="FM142" s="240"/>
      <c r="FN142" s="240"/>
      <c r="FO142" s="238"/>
      <c r="FP142" s="240"/>
      <c r="FQ142" s="240"/>
      <c r="FR142" s="240"/>
      <c r="FS142" s="240"/>
      <c r="FT142" s="240"/>
      <c r="FU142" s="240"/>
      <c r="FV142" s="240"/>
      <c r="FW142" s="240"/>
      <c r="FX142" s="240"/>
      <c r="FY142" s="240"/>
      <c r="FZ142" s="238"/>
      <c r="GA142" s="240"/>
      <c r="GB142" s="240"/>
      <c r="GC142" s="238"/>
      <c r="GD142" s="240"/>
      <c r="GE142" s="240"/>
      <c r="GF142" s="240"/>
      <c r="GG142" s="240"/>
      <c r="GH142" s="238"/>
      <c r="GI142" s="240"/>
      <c r="GJ142" s="240"/>
      <c r="GK142" s="240"/>
      <c r="GL142" s="240"/>
      <c r="GM142" s="238"/>
      <c r="GN142" s="240"/>
      <c r="GO142" s="240"/>
      <c r="GP142" s="240"/>
      <c r="GQ142" s="240"/>
      <c r="GR142" s="240"/>
      <c r="GS142" s="240"/>
      <c r="GT142" s="240"/>
      <c r="GU142" s="240"/>
      <c r="GV142" s="240"/>
      <c r="GW142" s="240"/>
      <c r="GX142" s="240"/>
      <c r="GY142" s="240"/>
      <c r="GZ142" s="240"/>
      <c r="HA142" s="240"/>
      <c r="HB142" s="240"/>
      <c r="HC142" s="240"/>
      <c r="HD142" s="238"/>
      <c r="HE142" s="240"/>
      <c r="HF142" s="240"/>
      <c r="HG142" s="240"/>
      <c r="HH142" s="240"/>
      <c r="HI142" s="240"/>
      <c r="HJ142" s="238"/>
      <c r="HK142" s="240"/>
      <c r="HL142" s="238"/>
      <c r="HM142" s="241"/>
      <c r="HN142" s="235"/>
      <c r="HO142" s="235"/>
      <c r="HP142" s="235"/>
      <c r="HQ142" s="235"/>
    </row>
    <row r="143" spans="2:225" ht="37.5" hidden="1" outlineLevel="2">
      <c r="B143" s="251" t="s">
        <v>1790</v>
      </c>
      <c r="C143" s="252" t="str">
        <f>IF(E141='3. Dropdowns'!C119,"Show",IF(E141="","Show","Hide"))</f>
        <v>Show</v>
      </c>
      <c r="D143" s="236" t="s">
        <v>3387</v>
      </c>
      <c r="E143" s="248"/>
      <c r="F143" s="284" t="str">
        <f>IF(E143='3. Dropdowns'!C115,"","Products")</f>
        <v>Products</v>
      </c>
      <c r="G143" s="268"/>
      <c r="H143" s="238"/>
      <c r="I143" s="239" t="s">
        <v>890</v>
      </c>
      <c r="J143" s="240" t="s">
        <v>890</v>
      </c>
      <c r="K143" s="240"/>
      <c r="L143" s="240"/>
      <c r="M143" s="240"/>
      <c r="N143" s="240"/>
      <c r="O143" s="240"/>
      <c r="P143" s="240"/>
      <c r="Q143" s="240"/>
      <c r="R143" s="240"/>
      <c r="S143" s="240"/>
      <c r="T143" s="240" t="s">
        <v>890</v>
      </c>
      <c r="U143" s="240"/>
      <c r="V143" s="240"/>
      <c r="W143" s="240"/>
      <c r="X143" s="238"/>
      <c r="Y143" s="240"/>
      <c r="Z143" s="240"/>
      <c r="AA143" s="240"/>
      <c r="AB143" s="240"/>
      <c r="AC143" s="240"/>
      <c r="AD143" s="240"/>
      <c r="AE143" s="240"/>
      <c r="AF143" s="240"/>
      <c r="AG143" s="240"/>
      <c r="AH143" s="238"/>
      <c r="AI143" s="240"/>
      <c r="AJ143" s="240"/>
      <c r="AK143" s="240"/>
      <c r="AL143" s="240"/>
      <c r="AM143" s="238"/>
      <c r="AN143" s="240"/>
      <c r="AO143" s="240"/>
      <c r="AP143" s="240"/>
      <c r="AQ143" s="238"/>
      <c r="AR143" s="240"/>
      <c r="AS143" s="240"/>
      <c r="AT143" s="240"/>
      <c r="AU143" s="240"/>
      <c r="AV143" s="240"/>
      <c r="AW143" s="240"/>
      <c r="AX143" s="240"/>
      <c r="AY143" s="240"/>
      <c r="AZ143" s="238"/>
      <c r="BA143" s="240"/>
      <c r="BB143" s="240"/>
      <c r="BC143" s="240"/>
      <c r="BD143" s="240"/>
      <c r="BE143" s="240"/>
      <c r="BF143" s="240"/>
      <c r="BG143" s="240"/>
      <c r="BH143" s="240"/>
      <c r="BI143" s="240"/>
      <c r="BJ143" s="240"/>
      <c r="BK143" s="240"/>
      <c r="BL143" s="240"/>
      <c r="BM143" s="240"/>
      <c r="BN143" s="240"/>
      <c r="BO143" s="240"/>
      <c r="BP143" s="238"/>
      <c r="BQ143" s="240"/>
      <c r="BR143" s="240"/>
      <c r="BS143" s="240"/>
      <c r="BT143" s="240"/>
      <c r="BU143" s="240"/>
      <c r="BV143" s="240"/>
      <c r="BW143" s="240"/>
      <c r="BX143" s="240"/>
      <c r="BY143" s="240"/>
      <c r="BZ143" s="240"/>
      <c r="CA143" s="240"/>
      <c r="CB143" s="240"/>
      <c r="CC143" s="240"/>
      <c r="CD143" s="240"/>
      <c r="CE143" s="240"/>
      <c r="CF143" s="238"/>
      <c r="CG143" s="240"/>
      <c r="CH143" s="240"/>
      <c r="CI143" s="240"/>
      <c r="CJ143" s="240"/>
      <c r="CK143" s="240"/>
      <c r="CL143" s="240"/>
      <c r="CM143" s="240"/>
      <c r="CN143" s="240"/>
      <c r="CO143" s="240"/>
      <c r="CP143" s="240"/>
      <c r="CQ143" s="240"/>
      <c r="CR143" s="240"/>
      <c r="CS143" s="238" t="s">
        <v>890</v>
      </c>
      <c r="CT143" s="240" t="s">
        <v>890</v>
      </c>
      <c r="CU143" s="240"/>
      <c r="CV143" s="240"/>
      <c r="CW143" s="240"/>
      <c r="CX143" s="240"/>
      <c r="CY143" s="240"/>
      <c r="CZ143" s="240"/>
      <c r="DA143" s="240"/>
      <c r="DB143" s="240"/>
      <c r="DC143" s="240"/>
      <c r="DD143" s="240"/>
      <c r="DE143" s="240"/>
      <c r="DF143" s="238"/>
      <c r="DG143" s="240"/>
      <c r="DH143" s="240"/>
      <c r="DI143" s="240"/>
      <c r="DJ143" s="240"/>
      <c r="DK143" s="240"/>
      <c r="DL143" s="240"/>
      <c r="DM143" s="240"/>
      <c r="DN143" s="240"/>
      <c r="DO143" s="240"/>
      <c r="DP143" s="240"/>
      <c r="DQ143" s="240"/>
      <c r="DR143" s="238"/>
      <c r="DS143" s="240"/>
      <c r="DT143" s="240"/>
      <c r="DU143" s="240"/>
      <c r="DV143" s="238"/>
      <c r="DW143" s="240"/>
      <c r="DX143" s="240"/>
      <c r="DY143" s="240"/>
      <c r="DZ143" s="240"/>
      <c r="EA143" s="240"/>
      <c r="EB143" s="240"/>
      <c r="EC143" s="240"/>
      <c r="ED143" s="240"/>
      <c r="EE143" s="240"/>
      <c r="EF143" s="238"/>
      <c r="EG143" s="240"/>
      <c r="EH143" s="240"/>
      <c r="EI143" s="240"/>
      <c r="EJ143" s="238"/>
      <c r="EK143" s="240"/>
      <c r="EL143" s="238"/>
      <c r="EM143" s="240"/>
      <c r="EN143" s="240"/>
      <c r="EO143" s="240"/>
      <c r="EP143" s="240"/>
      <c r="EQ143" s="240"/>
      <c r="ER143" s="240"/>
      <c r="ES143" s="240"/>
      <c r="ET143" s="240"/>
      <c r="EU143" s="240"/>
      <c r="EV143" s="240"/>
      <c r="EW143" s="240"/>
      <c r="EX143" s="238"/>
      <c r="EY143" s="240"/>
      <c r="EZ143" s="240"/>
      <c r="FA143" s="240"/>
      <c r="FB143" s="240"/>
      <c r="FC143" s="240"/>
      <c r="FD143" s="240"/>
      <c r="FE143" s="240"/>
      <c r="FF143" s="240"/>
      <c r="FG143" s="240"/>
      <c r="FH143" s="240"/>
      <c r="FI143" s="240"/>
      <c r="FJ143" s="240"/>
      <c r="FK143" s="240"/>
      <c r="FL143" s="240"/>
      <c r="FM143" s="240"/>
      <c r="FN143" s="240"/>
      <c r="FO143" s="238"/>
      <c r="FP143" s="240"/>
      <c r="FQ143" s="240"/>
      <c r="FR143" s="240"/>
      <c r="FS143" s="240"/>
      <c r="FT143" s="240"/>
      <c r="FU143" s="240"/>
      <c r="FV143" s="240"/>
      <c r="FW143" s="240"/>
      <c r="FX143" s="240"/>
      <c r="FY143" s="240"/>
      <c r="FZ143" s="238"/>
      <c r="GA143" s="240"/>
      <c r="GB143" s="240"/>
      <c r="GC143" s="238"/>
      <c r="GD143" s="240"/>
      <c r="GE143" s="240"/>
      <c r="GF143" s="240"/>
      <c r="GG143" s="240"/>
      <c r="GH143" s="238"/>
      <c r="GI143" s="240"/>
      <c r="GJ143" s="240"/>
      <c r="GK143" s="240"/>
      <c r="GL143" s="240"/>
      <c r="GM143" s="238"/>
      <c r="GN143" s="240"/>
      <c r="GO143" s="240"/>
      <c r="GP143" s="240"/>
      <c r="GQ143" s="240"/>
      <c r="GR143" s="240"/>
      <c r="GS143" s="240"/>
      <c r="GT143" s="240"/>
      <c r="GU143" s="240"/>
      <c r="GV143" s="240"/>
      <c r="GW143" s="240"/>
      <c r="GX143" s="240"/>
      <c r="GY143" s="240"/>
      <c r="GZ143" s="240"/>
      <c r="HA143" s="240"/>
      <c r="HB143" s="240"/>
      <c r="HC143" s="240"/>
      <c r="HD143" s="238"/>
      <c r="HE143" s="240"/>
      <c r="HF143" s="240"/>
      <c r="HG143" s="240"/>
      <c r="HH143" s="240"/>
      <c r="HI143" s="240"/>
      <c r="HJ143" s="238"/>
      <c r="HK143" s="240"/>
      <c r="HL143" s="238"/>
      <c r="HM143" s="241"/>
      <c r="HN143" s="235"/>
      <c r="HO143" s="235"/>
      <c r="HP143" s="235"/>
      <c r="HQ143" s="235"/>
    </row>
    <row r="144" spans="2:225" ht="37.5" hidden="1" outlineLevel="2">
      <c r="B144" s="251" t="s">
        <v>1790</v>
      </c>
      <c r="C144" s="252" t="str">
        <f>IF(E141='3. Dropdowns'!C119,"Show",IF(E141="","Show","Hide"))</f>
        <v>Show</v>
      </c>
      <c r="D144" s="236" t="s">
        <v>3239</v>
      </c>
      <c r="E144" s="248"/>
      <c r="F144" s="284" t="str">
        <f>IF(E144='3. Dropdowns'!C115,"","Submittals, Execution")</f>
        <v>Submittals, Execution</v>
      </c>
      <c r="G144" s="268"/>
      <c r="H144" s="238"/>
      <c r="I144" s="239" t="s">
        <v>890</v>
      </c>
      <c r="J144" s="240"/>
      <c r="K144" s="240"/>
      <c r="L144" s="240"/>
      <c r="M144" s="240"/>
      <c r="N144" s="240"/>
      <c r="O144" s="240"/>
      <c r="P144" s="240"/>
      <c r="Q144" s="240"/>
      <c r="R144" s="240"/>
      <c r="S144" s="240"/>
      <c r="T144" s="240" t="s">
        <v>890</v>
      </c>
      <c r="U144" s="240"/>
      <c r="V144" s="240"/>
      <c r="W144" s="240"/>
      <c r="X144" s="238"/>
      <c r="Y144" s="240"/>
      <c r="Z144" s="240"/>
      <c r="AA144" s="240"/>
      <c r="AB144" s="240"/>
      <c r="AC144" s="240"/>
      <c r="AD144" s="240"/>
      <c r="AE144" s="240"/>
      <c r="AF144" s="240"/>
      <c r="AG144" s="240"/>
      <c r="AH144" s="238"/>
      <c r="AI144" s="240"/>
      <c r="AJ144" s="240"/>
      <c r="AK144" s="240"/>
      <c r="AL144" s="240"/>
      <c r="AM144" s="238"/>
      <c r="AN144" s="240"/>
      <c r="AO144" s="240"/>
      <c r="AP144" s="240"/>
      <c r="AQ144" s="238"/>
      <c r="AR144" s="240"/>
      <c r="AS144" s="240"/>
      <c r="AT144" s="240"/>
      <c r="AU144" s="240"/>
      <c r="AV144" s="240"/>
      <c r="AW144" s="240"/>
      <c r="AX144" s="240"/>
      <c r="AY144" s="240"/>
      <c r="AZ144" s="238"/>
      <c r="BA144" s="240"/>
      <c r="BB144" s="240" t="s">
        <v>890</v>
      </c>
      <c r="BC144" s="240"/>
      <c r="BD144" s="240"/>
      <c r="BE144" s="240"/>
      <c r="BF144" s="240"/>
      <c r="BG144" s="240"/>
      <c r="BH144" s="240"/>
      <c r="BI144" s="240"/>
      <c r="BJ144" s="240"/>
      <c r="BK144" s="240"/>
      <c r="BL144" s="240"/>
      <c r="BM144" s="240"/>
      <c r="BN144" s="240"/>
      <c r="BO144" s="240"/>
      <c r="BP144" s="238"/>
      <c r="BQ144" s="240"/>
      <c r="BR144" s="240"/>
      <c r="BS144" s="240"/>
      <c r="BT144" s="240"/>
      <c r="BU144" s="240"/>
      <c r="BV144" s="240"/>
      <c r="BW144" s="240"/>
      <c r="BX144" s="240"/>
      <c r="BY144" s="240"/>
      <c r="BZ144" s="240"/>
      <c r="CA144" s="240"/>
      <c r="CB144" s="240"/>
      <c r="CC144" s="240"/>
      <c r="CD144" s="240"/>
      <c r="CE144" s="240"/>
      <c r="CF144" s="238"/>
      <c r="CG144" s="240"/>
      <c r="CH144" s="240"/>
      <c r="CI144" s="240"/>
      <c r="CJ144" s="240"/>
      <c r="CK144" s="240"/>
      <c r="CL144" s="240"/>
      <c r="CM144" s="240"/>
      <c r="CN144" s="240"/>
      <c r="CO144" s="240"/>
      <c r="CP144" s="240"/>
      <c r="CQ144" s="240"/>
      <c r="CR144" s="240"/>
      <c r="CS144" s="238"/>
      <c r="CT144" s="240"/>
      <c r="CU144" s="240"/>
      <c r="CV144" s="240"/>
      <c r="CW144" s="240"/>
      <c r="CX144" s="240"/>
      <c r="CY144" s="240"/>
      <c r="CZ144" s="240"/>
      <c r="DA144" s="240"/>
      <c r="DB144" s="240"/>
      <c r="DC144" s="240"/>
      <c r="DD144" s="240"/>
      <c r="DE144" s="240"/>
      <c r="DF144" s="238"/>
      <c r="DG144" s="240"/>
      <c r="DH144" s="240"/>
      <c r="DI144" s="240"/>
      <c r="DJ144" s="240"/>
      <c r="DK144" s="240"/>
      <c r="DL144" s="240"/>
      <c r="DM144" s="240"/>
      <c r="DN144" s="240"/>
      <c r="DO144" s="240"/>
      <c r="DP144" s="240"/>
      <c r="DQ144" s="240"/>
      <c r="DR144" s="238"/>
      <c r="DS144" s="240"/>
      <c r="DT144" s="240"/>
      <c r="DU144" s="240"/>
      <c r="DV144" s="238"/>
      <c r="DW144" s="240"/>
      <c r="DX144" s="240"/>
      <c r="DY144" s="240"/>
      <c r="DZ144" s="240"/>
      <c r="EA144" s="240"/>
      <c r="EB144" s="240"/>
      <c r="EC144" s="240"/>
      <c r="ED144" s="240"/>
      <c r="EE144" s="240"/>
      <c r="EF144" s="238"/>
      <c r="EG144" s="240"/>
      <c r="EH144" s="240"/>
      <c r="EI144" s="240"/>
      <c r="EJ144" s="238"/>
      <c r="EK144" s="240"/>
      <c r="EL144" s="238"/>
      <c r="EM144" s="240"/>
      <c r="EN144" s="240"/>
      <c r="EO144" s="240"/>
      <c r="EP144" s="240"/>
      <c r="EQ144" s="240"/>
      <c r="ER144" s="240"/>
      <c r="ES144" s="240"/>
      <c r="ET144" s="240"/>
      <c r="EU144" s="240"/>
      <c r="EV144" s="240"/>
      <c r="EW144" s="240"/>
      <c r="EX144" s="238"/>
      <c r="EY144" s="240"/>
      <c r="EZ144" s="240"/>
      <c r="FA144" s="240"/>
      <c r="FB144" s="240"/>
      <c r="FC144" s="240"/>
      <c r="FD144" s="240"/>
      <c r="FE144" s="240"/>
      <c r="FF144" s="240"/>
      <c r="FG144" s="240"/>
      <c r="FH144" s="240"/>
      <c r="FI144" s="240"/>
      <c r="FJ144" s="240"/>
      <c r="FK144" s="240"/>
      <c r="FL144" s="240"/>
      <c r="FM144" s="240"/>
      <c r="FN144" s="240"/>
      <c r="FO144" s="238"/>
      <c r="FP144" s="240"/>
      <c r="FQ144" s="240"/>
      <c r="FR144" s="240"/>
      <c r="FS144" s="240"/>
      <c r="FT144" s="240"/>
      <c r="FU144" s="240"/>
      <c r="FV144" s="240"/>
      <c r="FW144" s="240"/>
      <c r="FX144" s="240"/>
      <c r="FY144" s="240"/>
      <c r="FZ144" s="238"/>
      <c r="GA144" s="240"/>
      <c r="GB144" s="240"/>
      <c r="GC144" s="238"/>
      <c r="GD144" s="240"/>
      <c r="GE144" s="240"/>
      <c r="GF144" s="240"/>
      <c r="GG144" s="240"/>
      <c r="GH144" s="238"/>
      <c r="GI144" s="240"/>
      <c r="GJ144" s="240"/>
      <c r="GK144" s="240"/>
      <c r="GL144" s="240"/>
      <c r="GM144" s="238"/>
      <c r="GN144" s="240"/>
      <c r="GO144" s="240"/>
      <c r="GP144" s="240"/>
      <c r="GQ144" s="240"/>
      <c r="GR144" s="240"/>
      <c r="GS144" s="240"/>
      <c r="GT144" s="240"/>
      <c r="GU144" s="240"/>
      <c r="GV144" s="240"/>
      <c r="GW144" s="240"/>
      <c r="GX144" s="240"/>
      <c r="GY144" s="240"/>
      <c r="GZ144" s="240"/>
      <c r="HA144" s="240"/>
      <c r="HB144" s="240"/>
      <c r="HC144" s="240"/>
      <c r="HD144" s="238"/>
      <c r="HE144" s="240"/>
      <c r="HF144" s="240"/>
      <c r="HG144" s="240"/>
      <c r="HH144" s="240"/>
      <c r="HI144" s="240"/>
      <c r="HJ144" s="238"/>
      <c r="HK144" s="240"/>
      <c r="HL144" s="238"/>
      <c r="HM144" s="241"/>
      <c r="HN144" s="235"/>
      <c r="HO144" s="235"/>
      <c r="HP144" s="235"/>
      <c r="HQ144" s="235"/>
    </row>
    <row r="145" spans="2:225" ht="37.5" hidden="1" outlineLevel="2">
      <c r="B145" s="251" t="s">
        <v>1790</v>
      </c>
      <c r="C145" s="252" t="str">
        <f>IF(E141='3. Dropdowns'!C119,"Show",IF(E141="","Show","Hide"))</f>
        <v>Show</v>
      </c>
      <c r="D145" s="236" t="s">
        <v>3388</v>
      </c>
      <c r="E145" s="248"/>
      <c r="F145" s="284" t="str">
        <f>IF(E145='3. Dropdowns'!C115,"","Submittals, Products, Execution")</f>
        <v>Submittals, Products, Execution</v>
      </c>
      <c r="G145" s="268"/>
      <c r="H145" s="238"/>
      <c r="I145" s="239" t="s">
        <v>890</v>
      </c>
      <c r="J145" s="240"/>
      <c r="K145" s="240"/>
      <c r="L145" s="240"/>
      <c r="M145" s="240"/>
      <c r="N145" s="240"/>
      <c r="O145" s="240"/>
      <c r="P145" s="240"/>
      <c r="Q145" s="240"/>
      <c r="R145" s="240"/>
      <c r="S145" s="240"/>
      <c r="T145" s="240" t="s">
        <v>890</v>
      </c>
      <c r="U145" s="240"/>
      <c r="V145" s="240"/>
      <c r="W145" s="240"/>
      <c r="X145" s="238"/>
      <c r="Y145" s="240"/>
      <c r="Z145" s="240"/>
      <c r="AA145" s="240"/>
      <c r="AB145" s="240"/>
      <c r="AC145" s="240"/>
      <c r="AD145" s="240"/>
      <c r="AE145" s="240"/>
      <c r="AF145" s="240"/>
      <c r="AG145" s="240"/>
      <c r="AH145" s="238"/>
      <c r="AI145" s="240"/>
      <c r="AJ145" s="240"/>
      <c r="AK145" s="240"/>
      <c r="AL145" s="240"/>
      <c r="AM145" s="238"/>
      <c r="AN145" s="240"/>
      <c r="AO145" s="240"/>
      <c r="AP145" s="240"/>
      <c r="AQ145" s="238"/>
      <c r="AR145" s="240"/>
      <c r="AS145" s="240"/>
      <c r="AT145" s="240"/>
      <c r="AU145" s="240"/>
      <c r="AV145" s="240"/>
      <c r="AW145" s="240"/>
      <c r="AX145" s="240"/>
      <c r="AY145" s="240"/>
      <c r="AZ145" s="238"/>
      <c r="BA145" s="240" t="s">
        <v>890</v>
      </c>
      <c r="BB145" s="240"/>
      <c r="BC145" s="240"/>
      <c r="BD145" s="240"/>
      <c r="BE145" s="240"/>
      <c r="BF145" s="240"/>
      <c r="BG145" s="240"/>
      <c r="BH145" s="240"/>
      <c r="BI145" s="240"/>
      <c r="BJ145" s="240"/>
      <c r="BK145" s="240"/>
      <c r="BL145" s="240"/>
      <c r="BM145" s="240"/>
      <c r="BN145" s="240"/>
      <c r="BO145" s="240"/>
      <c r="BP145" s="238"/>
      <c r="BQ145" s="240"/>
      <c r="BR145" s="240"/>
      <c r="BS145" s="240"/>
      <c r="BT145" s="240"/>
      <c r="BU145" s="240"/>
      <c r="BV145" s="240"/>
      <c r="BW145" s="240"/>
      <c r="BX145" s="240"/>
      <c r="BY145" s="240"/>
      <c r="BZ145" s="240"/>
      <c r="CA145" s="240"/>
      <c r="CB145" s="240"/>
      <c r="CC145" s="240"/>
      <c r="CD145" s="240"/>
      <c r="CE145" s="240"/>
      <c r="CF145" s="238"/>
      <c r="CG145" s="240"/>
      <c r="CH145" s="240"/>
      <c r="CI145" s="240"/>
      <c r="CJ145" s="240"/>
      <c r="CK145" s="240"/>
      <c r="CL145" s="240"/>
      <c r="CM145" s="240"/>
      <c r="CN145" s="240"/>
      <c r="CO145" s="240"/>
      <c r="CP145" s="240"/>
      <c r="CQ145" s="240"/>
      <c r="CR145" s="240"/>
      <c r="CS145" s="238"/>
      <c r="CT145" s="240" t="s">
        <v>890</v>
      </c>
      <c r="CU145" s="240"/>
      <c r="CV145" s="240"/>
      <c r="CW145" s="240"/>
      <c r="CX145" s="240"/>
      <c r="CY145" s="240"/>
      <c r="CZ145" s="240"/>
      <c r="DA145" s="240"/>
      <c r="DB145" s="240"/>
      <c r="DC145" s="240"/>
      <c r="DD145" s="240"/>
      <c r="DE145" s="240"/>
      <c r="DF145" s="238"/>
      <c r="DG145" s="240"/>
      <c r="DH145" s="240"/>
      <c r="DI145" s="240"/>
      <c r="DJ145" s="240"/>
      <c r="DK145" s="240"/>
      <c r="DL145" s="240"/>
      <c r="DM145" s="240"/>
      <c r="DN145" s="240"/>
      <c r="DO145" s="240"/>
      <c r="DP145" s="240"/>
      <c r="DQ145" s="240"/>
      <c r="DR145" s="238"/>
      <c r="DS145" s="240"/>
      <c r="DT145" s="240"/>
      <c r="DU145" s="240"/>
      <c r="DV145" s="238"/>
      <c r="DW145" s="240"/>
      <c r="DX145" s="240"/>
      <c r="DY145" s="240"/>
      <c r="DZ145" s="240"/>
      <c r="EA145" s="240"/>
      <c r="EB145" s="240"/>
      <c r="EC145" s="240"/>
      <c r="ED145" s="240"/>
      <c r="EE145" s="240"/>
      <c r="EF145" s="238"/>
      <c r="EG145" s="240"/>
      <c r="EH145" s="240"/>
      <c r="EI145" s="240"/>
      <c r="EJ145" s="238"/>
      <c r="EK145" s="240"/>
      <c r="EL145" s="238"/>
      <c r="EM145" s="240"/>
      <c r="EN145" s="240"/>
      <c r="EO145" s="240"/>
      <c r="EP145" s="240"/>
      <c r="EQ145" s="240"/>
      <c r="ER145" s="240"/>
      <c r="ES145" s="240"/>
      <c r="ET145" s="240"/>
      <c r="EU145" s="240"/>
      <c r="EV145" s="240"/>
      <c r="EW145" s="240"/>
      <c r="EX145" s="238"/>
      <c r="EY145" s="240"/>
      <c r="EZ145" s="240"/>
      <c r="FA145" s="240"/>
      <c r="FB145" s="240"/>
      <c r="FC145" s="240"/>
      <c r="FD145" s="240"/>
      <c r="FE145" s="240"/>
      <c r="FF145" s="240"/>
      <c r="FG145" s="240"/>
      <c r="FH145" s="240"/>
      <c r="FI145" s="240"/>
      <c r="FJ145" s="240"/>
      <c r="FK145" s="240"/>
      <c r="FL145" s="240"/>
      <c r="FM145" s="240"/>
      <c r="FN145" s="240"/>
      <c r="FO145" s="238"/>
      <c r="FP145" s="240"/>
      <c r="FQ145" s="240"/>
      <c r="FR145" s="240"/>
      <c r="FS145" s="240"/>
      <c r="FT145" s="240"/>
      <c r="FU145" s="240"/>
      <c r="FV145" s="240"/>
      <c r="FW145" s="240"/>
      <c r="FX145" s="240"/>
      <c r="FY145" s="240"/>
      <c r="FZ145" s="238"/>
      <c r="GA145" s="240"/>
      <c r="GB145" s="240"/>
      <c r="GC145" s="238"/>
      <c r="GD145" s="240"/>
      <c r="GE145" s="240"/>
      <c r="GF145" s="240"/>
      <c r="GG145" s="240"/>
      <c r="GH145" s="238"/>
      <c r="GI145" s="240"/>
      <c r="GJ145" s="240"/>
      <c r="GK145" s="240"/>
      <c r="GL145" s="240"/>
      <c r="GM145" s="238"/>
      <c r="GN145" s="240"/>
      <c r="GO145" s="240"/>
      <c r="GP145" s="240"/>
      <c r="GQ145" s="240"/>
      <c r="GR145" s="240"/>
      <c r="GS145" s="240"/>
      <c r="GT145" s="240"/>
      <c r="GU145" s="240"/>
      <c r="GV145" s="240"/>
      <c r="GW145" s="240"/>
      <c r="GX145" s="240"/>
      <c r="GY145" s="240"/>
      <c r="GZ145" s="240"/>
      <c r="HA145" s="240"/>
      <c r="HB145" s="240"/>
      <c r="HC145" s="240"/>
      <c r="HD145" s="238"/>
      <c r="HE145" s="240"/>
      <c r="HF145" s="240"/>
      <c r="HG145" s="240"/>
      <c r="HH145" s="240"/>
      <c r="HI145" s="240"/>
      <c r="HJ145" s="238"/>
      <c r="HK145" s="240"/>
      <c r="HL145" s="238"/>
      <c r="HM145" s="241"/>
      <c r="HN145" s="235"/>
      <c r="HO145" s="235"/>
      <c r="HP145" s="235"/>
      <c r="HQ145" s="235"/>
    </row>
    <row r="146" spans="2:225" ht="37.5" hidden="1" outlineLevel="2">
      <c r="B146" s="251" t="s">
        <v>1790</v>
      </c>
      <c r="C146" s="252" t="str">
        <f>IF(E141='3. Dropdowns'!C119,"Show",IF(E141="","Show","Hide"))</f>
        <v>Show</v>
      </c>
      <c r="D146" s="236" t="s">
        <v>3389</v>
      </c>
      <c r="E146" s="248"/>
      <c r="F146" s="284" t="str">
        <f>IF(E146='3. Dropdowns'!C115,"","Submittals, Products")</f>
        <v>Submittals, Products</v>
      </c>
      <c r="G146" s="268"/>
      <c r="H146" s="238"/>
      <c r="I146" s="239" t="s">
        <v>890</v>
      </c>
      <c r="J146" s="240"/>
      <c r="K146" s="240"/>
      <c r="L146" s="240"/>
      <c r="M146" s="240"/>
      <c r="N146" s="240"/>
      <c r="O146" s="240"/>
      <c r="P146" s="240"/>
      <c r="Q146" s="240"/>
      <c r="R146" s="240"/>
      <c r="S146" s="240"/>
      <c r="T146" s="240" t="s">
        <v>890</v>
      </c>
      <c r="U146" s="240"/>
      <c r="V146" s="240"/>
      <c r="W146" s="240"/>
      <c r="X146" s="238"/>
      <c r="Y146" s="240"/>
      <c r="Z146" s="240"/>
      <c r="AA146" s="240"/>
      <c r="AB146" s="240"/>
      <c r="AC146" s="240"/>
      <c r="AD146" s="240"/>
      <c r="AE146" s="240"/>
      <c r="AF146" s="240"/>
      <c r="AG146" s="240"/>
      <c r="AH146" s="238"/>
      <c r="AI146" s="240"/>
      <c r="AJ146" s="240"/>
      <c r="AK146" s="240"/>
      <c r="AL146" s="240"/>
      <c r="AM146" s="238"/>
      <c r="AN146" s="240"/>
      <c r="AO146" s="240"/>
      <c r="AP146" s="240"/>
      <c r="AQ146" s="238"/>
      <c r="AR146" s="240"/>
      <c r="AS146" s="240"/>
      <c r="AT146" s="240"/>
      <c r="AU146" s="240"/>
      <c r="AV146" s="240"/>
      <c r="AW146" s="240"/>
      <c r="AX146" s="240"/>
      <c r="AY146" s="240"/>
      <c r="AZ146" s="238"/>
      <c r="BA146" s="240"/>
      <c r="BB146" s="240"/>
      <c r="BC146" s="240"/>
      <c r="BD146" s="240"/>
      <c r="BE146" s="240"/>
      <c r="BF146" s="240"/>
      <c r="BG146" s="240"/>
      <c r="BH146" s="240"/>
      <c r="BI146" s="240"/>
      <c r="BJ146" s="240"/>
      <c r="BK146" s="240"/>
      <c r="BL146" s="240"/>
      <c r="BM146" s="240"/>
      <c r="BN146" s="240"/>
      <c r="BO146" s="240"/>
      <c r="BP146" s="238"/>
      <c r="BQ146" s="240"/>
      <c r="BR146" s="240"/>
      <c r="BS146" s="240" t="s">
        <v>890</v>
      </c>
      <c r="BT146" s="240"/>
      <c r="BU146" s="240"/>
      <c r="BV146" s="240"/>
      <c r="BW146" s="240"/>
      <c r="BX146" s="240"/>
      <c r="BY146" s="240"/>
      <c r="BZ146" s="240"/>
      <c r="CA146" s="240"/>
      <c r="CB146" s="240"/>
      <c r="CC146" s="240"/>
      <c r="CD146" s="240"/>
      <c r="CE146" s="240"/>
      <c r="CF146" s="238"/>
      <c r="CG146" s="240"/>
      <c r="CH146" s="240"/>
      <c r="CI146" s="240"/>
      <c r="CJ146" s="240"/>
      <c r="CK146" s="240"/>
      <c r="CL146" s="240"/>
      <c r="CM146" s="240"/>
      <c r="CN146" s="240"/>
      <c r="CO146" s="240"/>
      <c r="CP146" s="240"/>
      <c r="CQ146" s="240"/>
      <c r="CR146" s="240"/>
      <c r="CS146" s="238"/>
      <c r="CT146" s="240"/>
      <c r="CU146" s="240"/>
      <c r="CV146" s="240"/>
      <c r="CW146" s="240"/>
      <c r="CX146" s="240"/>
      <c r="CY146" s="240"/>
      <c r="CZ146" s="240"/>
      <c r="DA146" s="240"/>
      <c r="DB146" s="240"/>
      <c r="DC146" s="240"/>
      <c r="DD146" s="240"/>
      <c r="DE146" s="240"/>
      <c r="DF146" s="238"/>
      <c r="DG146" s="240"/>
      <c r="DH146" s="240"/>
      <c r="DI146" s="240"/>
      <c r="DJ146" s="240"/>
      <c r="DK146" s="240"/>
      <c r="DL146" s="240"/>
      <c r="DM146" s="240"/>
      <c r="DN146" s="240"/>
      <c r="DO146" s="240"/>
      <c r="DP146" s="240"/>
      <c r="DQ146" s="240"/>
      <c r="DR146" s="238"/>
      <c r="DS146" s="240"/>
      <c r="DT146" s="240"/>
      <c r="DU146" s="240"/>
      <c r="DV146" s="238"/>
      <c r="DW146" s="240"/>
      <c r="DX146" s="240"/>
      <c r="DY146" s="240"/>
      <c r="DZ146" s="240"/>
      <c r="EA146" s="240"/>
      <c r="EB146" s="240"/>
      <c r="EC146" s="240"/>
      <c r="ED146" s="240"/>
      <c r="EE146" s="240"/>
      <c r="EF146" s="238"/>
      <c r="EG146" s="240"/>
      <c r="EH146" s="240"/>
      <c r="EI146" s="240"/>
      <c r="EJ146" s="238"/>
      <c r="EK146" s="240"/>
      <c r="EL146" s="238"/>
      <c r="EM146" s="240"/>
      <c r="EN146" s="240"/>
      <c r="EO146" s="240"/>
      <c r="EP146" s="240"/>
      <c r="EQ146" s="240"/>
      <c r="ER146" s="240"/>
      <c r="ES146" s="240"/>
      <c r="ET146" s="240"/>
      <c r="EU146" s="240"/>
      <c r="EV146" s="240"/>
      <c r="EW146" s="240"/>
      <c r="EX146" s="238"/>
      <c r="EY146" s="240"/>
      <c r="EZ146" s="240"/>
      <c r="FA146" s="240"/>
      <c r="FB146" s="240"/>
      <c r="FC146" s="240"/>
      <c r="FD146" s="240"/>
      <c r="FE146" s="240"/>
      <c r="FF146" s="240"/>
      <c r="FG146" s="240"/>
      <c r="FH146" s="240"/>
      <c r="FI146" s="240"/>
      <c r="FJ146" s="240"/>
      <c r="FK146" s="240"/>
      <c r="FL146" s="240"/>
      <c r="FM146" s="240"/>
      <c r="FN146" s="240"/>
      <c r="FO146" s="238"/>
      <c r="FP146" s="240"/>
      <c r="FQ146" s="240"/>
      <c r="FR146" s="240"/>
      <c r="FS146" s="240"/>
      <c r="FT146" s="240"/>
      <c r="FU146" s="240"/>
      <c r="FV146" s="240"/>
      <c r="FW146" s="240"/>
      <c r="FX146" s="240"/>
      <c r="FY146" s="240"/>
      <c r="FZ146" s="238"/>
      <c r="GA146" s="240"/>
      <c r="GB146" s="240"/>
      <c r="GC146" s="238"/>
      <c r="GD146" s="240"/>
      <c r="GE146" s="240"/>
      <c r="GF146" s="240"/>
      <c r="GG146" s="240"/>
      <c r="GH146" s="238"/>
      <c r="GI146" s="240"/>
      <c r="GJ146" s="240"/>
      <c r="GK146" s="240"/>
      <c r="GL146" s="240"/>
      <c r="GM146" s="238"/>
      <c r="GN146" s="240"/>
      <c r="GO146" s="240"/>
      <c r="GP146" s="240"/>
      <c r="GQ146" s="240"/>
      <c r="GR146" s="240"/>
      <c r="GS146" s="240"/>
      <c r="GT146" s="240"/>
      <c r="GU146" s="240"/>
      <c r="GV146" s="240"/>
      <c r="GW146" s="240"/>
      <c r="GX146" s="240"/>
      <c r="GY146" s="240"/>
      <c r="GZ146" s="240"/>
      <c r="HA146" s="240"/>
      <c r="HB146" s="240"/>
      <c r="HC146" s="240"/>
      <c r="HD146" s="238"/>
      <c r="HE146" s="240"/>
      <c r="HF146" s="240"/>
      <c r="HG146" s="240"/>
      <c r="HH146" s="240"/>
      <c r="HI146" s="240"/>
      <c r="HJ146" s="238"/>
      <c r="HK146" s="240"/>
      <c r="HL146" s="238"/>
      <c r="HM146" s="241"/>
      <c r="HN146" s="235"/>
      <c r="HO146" s="235"/>
      <c r="HP146" s="235"/>
      <c r="HQ146" s="235"/>
    </row>
    <row r="147" spans="2:225" ht="37.5" hidden="1" outlineLevel="2">
      <c r="B147" s="251" t="s">
        <v>1790</v>
      </c>
      <c r="C147" s="252" t="str">
        <f>IF(E141='3. Dropdowns'!C119,"Show",IF(E141="","Show","Hide"))</f>
        <v>Show</v>
      </c>
      <c r="D147" s="236" t="s">
        <v>3390</v>
      </c>
      <c r="E147" s="248"/>
      <c r="F147" s="284" t="str">
        <f>IF(E147='3. Dropdowns'!C115,"","Submittals, Execution")</f>
        <v>Submittals, Execution</v>
      </c>
      <c r="G147" s="268"/>
      <c r="H147" s="238"/>
      <c r="I147" s="239" t="s">
        <v>890</v>
      </c>
      <c r="J147" s="240"/>
      <c r="K147" s="240"/>
      <c r="L147" s="240"/>
      <c r="M147" s="240"/>
      <c r="N147" s="240"/>
      <c r="O147" s="240"/>
      <c r="P147" s="240"/>
      <c r="Q147" s="240"/>
      <c r="R147" s="240"/>
      <c r="S147" s="240"/>
      <c r="T147" s="240" t="s">
        <v>890</v>
      </c>
      <c r="U147" s="240"/>
      <c r="V147" s="240"/>
      <c r="W147" s="240"/>
      <c r="X147" s="238"/>
      <c r="Y147" s="240"/>
      <c r="Z147" s="240"/>
      <c r="AA147" s="240"/>
      <c r="AB147" s="240"/>
      <c r="AC147" s="240"/>
      <c r="AD147" s="240"/>
      <c r="AE147" s="240"/>
      <c r="AF147" s="240"/>
      <c r="AG147" s="240"/>
      <c r="AH147" s="238"/>
      <c r="AI147" s="240"/>
      <c r="AJ147" s="240"/>
      <c r="AK147" s="240"/>
      <c r="AL147" s="240"/>
      <c r="AM147" s="238"/>
      <c r="AN147" s="240"/>
      <c r="AO147" s="240"/>
      <c r="AP147" s="240"/>
      <c r="AQ147" s="238"/>
      <c r="AR147" s="240"/>
      <c r="AS147" s="240"/>
      <c r="AT147" s="240"/>
      <c r="AU147" s="240"/>
      <c r="AV147" s="240"/>
      <c r="AW147" s="240"/>
      <c r="AX147" s="240"/>
      <c r="AY147" s="240"/>
      <c r="AZ147" s="238"/>
      <c r="BA147" s="240"/>
      <c r="BB147" s="240"/>
      <c r="BC147" s="240"/>
      <c r="BD147" s="240"/>
      <c r="BE147" s="240"/>
      <c r="BF147" s="240"/>
      <c r="BG147" s="240"/>
      <c r="BH147" s="240"/>
      <c r="BI147" s="240"/>
      <c r="BJ147" s="240"/>
      <c r="BK147" s="240"/>
      <c r="BL147" s="240"/>
      <c r="BM147" s="240"/>
      <c r="BN147" s="240"/>
      <c r="BO147" s="240"/>
      <c r="BP147" s="238"/>
      <c r="BQ147" s="240"/>
      <c r="BR147" s="240"/>
      <c r="BS147" s="240" t="s">
        <v>890</v>
      </c>
      <c r="BT147" s="240"/>
      <c r="BU147" s="240"/>
      <c r="BV147" s="240"/>
      <c r="BW147" s="240"/>
      <c r="BX147" s="240"/>
      <c r="BY147" s="240"/>
      <c r="BZ147" s="240"/>
      <c r="CA147" s="240"/>
      <c r="CB147" s="240"/>
      <c r="CC147" s="240"/>
      <c r="CD147" s="240"/>
      <c r="CE147" s="240"/>
      <c r="CF147" s="238"/>
      <c r="CG147" s="240"/>
      <c r="CH147" s="240"/>
      <c r="CI147" s="240"/>
      <c r="CJ147" s="240"/>
      <c r="CK147" s="240"/>
      <c r="CL147" s="240"/>
      <c r="CM147" s="240"/>
      <c r="CN147" s="240"/>
      <c r="CO147" s="240"/>
      <c r="CP147" s="240"/>
      <c r="CQ147" s="240"/>
      <c r="CR147" s="240"/>
      <c r="CS147" s="238"/>
      <c r="CT147" s="240"/>
      <c r="CU147" s="240"/>
      <c r="CV147" s="240"/>
      <c r="CW147" s="240"/>
      <c r="CX147" s="240"/>
      <c r="CY147" s="240"/>
      <c r="CZ147" s="240"/>
      <c r="DA147" s="240"/>
      <c r="DB147" s="240"/>
      <c r="DC147" s="240"/>
      <c r="DD147" s="240"/>
      <c r="DE147" s="240"/>
      <c r="DF147" s="238"/>
      <c r="DG147" s="240"/>
      <c r="DH147" s="240"/>
      <c r="DI147" s="240"/>
      <c r="DJ147" s="240"/>
      <c r="DK147" s="240"/>
      <c r="DL147" s="240"/>
      <c r="DM147" s="240"/>
      <c r="DN147" s="240"/>
      <c r="DO147" s="240"/>
      <c r="DP147" s="240"/>
      <c r="DQ147" s="240"/>
      <c r="DR147" s="238"/>
      <c r="DS147" s="240"/>
      <c r="DT147" s="240"/>
      <c r="DU147" s="240"/>
      <c r="DV147" s="238"/>
      <c r="DW147" s="240"/>
      <c r="DX147" s="240"/>
      <c r="DY147" s="240"/>
      <c r="DZ147" s="240"/>
      <c r="EA147" s="240"/>
      <c r="EB147" s="240"/>
      <c r="EC147" s="240"/>
      <c r="ED147" s="240"/>
      <c r="EE147" s="240"/>
      <c r="EF147" s="238"/>
      <c r="EG147" s="240"/>
      <c r="EH147" s="240"/>
      <c r="EI147" s="240"/>
      <c r="EJ147" s="238"/>
      <c r="EK147" s="240"/>
      <c r="EL147" s="238"/>
      <c r="EM147" s="240"/>
      <c r="EN147" s="240"/>
      <c r="EO147" s="240"/>
      <c r="EP147" s="240"/>
      <c r="EQ147" s="240"/>
      <c r="ER147" s="240"/>
      <c r="ES147" s="240"/>
      <c r="ET147" s="240"/>
      <c r="EU147" s="240"/>
      <c r="EV147" s="240"/>
      <c r="EW147" s="240"/>
      <c r="EX147" s="238"/>
      <c r="EY147" s="240"/>
      <c r="EZ147" s="240"/>
      <c r="FA147" s="240"/>
      <c r="FB147" s="240"/>
      <c r="FC147" s="240"/>
      <c r="FD147" s="240"/>
      <c r="FE147" s="240"/>
      <c r="FF147" s="240"/>
      <c r="FG147" s="240"/>
      <c r="FH147" s="240"/>
      <c r="FI147" s="240"/>
      <c r="FJ147" s="240"/>
      <c r="FK147" s="240"/>
      <c r="FL147" s="240"/>
      <c r="FM147" s="240"/>
      <c r="FN147" s="240"/>
      <c r="FO147" s="238"/>
      <c r="FP147" s="240"/>
      <c r="FQ147" s="240"/>
      <c r="FR147" s="240"/>
      <c r="FS147" s="240"/>
      <c r="FT147" s="240"/>
      <c r="FU147" s="240"/>
      <c r="FV147" s="240"/>
      <c r="FW147" s="240"/>
      <c r="FX147" s="240"/>
      <c r="FY147" s="240"/>
      <c r="FZ147" s="238"/>
      <c r="GA147" s="240"/>
      <c r="GB147" s="240"/>
      <c r="GC147" s="238"/>
      <c r="GD147" s="240"/>
      <c r="GE147" s="240"/>
      <c r="GF147" s="240"/>
      <c r="GG147" s="240"/>
      <c r="GH147" s="238"/>
      <c r="GI147" s="240"/>
      <c r="GJ147" s="240"/>
      <c r="GK147" s="240"/>
      <c r="GL147" s="240"/>
      <c r="GM147" s="238"/>
      <c r="GN147" s="240"/>
      <c r="GO147" s="240"/>
      <c r="GP147" s="240"/>
      <c r="GQ147" s="240"/>
      <c r="GR147" s="240"/>
      <c r="GS147" s="240"/>
      <c r="GT147" s="240"/>
      <c r="GU147" s="240"/>
      <c r="GV147" s="240"/>
      <c r="GW147" s="240"/>
      <c r="GX147" s="240"/>
      <c r="GY147" s="240"/>
      <c r="GZ147" s="240"/>
      <c r="HA147" s="240"/>
      <c r="HB147" s="240"/>
      <c r="HC147" s="240"/>
      <c r="HD147" s="238"/>
      <c r="HE147" s="240"/>
      <c r="HF147" s="240"/>
      <c r="HG147" s="240"/>
      <c r="HH147" s="240"/>
      <c r="HI147" s="240"/>
      <c r="HJ147" s="238"/>
      <c r="HK147" s="240"/>
      <c r="HL147" s="238"/>
      <c r="HM147" s="241"/>
      <c r="HN147" s="235"/>
      <c r="HO147" s="235"/>
      <c r="HP147" s="235"/>
      <c r="HQ147" s="235"/>
    </row>
    <row r="148" spans="2:225" ht="37.5" hidden="1" outlineLevel="2">
      <c r="B148" s="251" t="s">
        <v>1790</v>
      </c>
      <c r="C148" s="252" t="str">
        <f>IF(E141='3. Dropdowns'!C119,"Show",IF(E141="","Show","Hide"))</f>
        <v>Show</v>
      </c>
      <c r="D148" s="236" t="s">
        <v>3240</v>
      </c>
      <c r="E148" s="248"/>
      <c r="F148" s="284" t="str">
        <f>IF(E148='3. Dropdowns'!C115,"","Products")</f>
        <v>Products</v>
      </c>
      <c r="G148" s="268"/>
      <c r="H148" s="238"/>
      <c r="I148" s="239" t="s">
        <v>890</v>
      </c>
      <c r="J148" s="240"/>
      <c r="K148" s="240"/>
      <c r="L148" s="240"/>
      <c r="M148" s="240"/>
      <c r="N148" s="240"/>
      <c r="O148" s="240"/>
      <c r="P148" s="240"/>
      <c r="Q148" s="240"/>
      <c r="R148" s="240"/>
      <c r="S148" s="240"/>
      <c r="T148" s="240" t="s">
        <v>890</v>
      </c>
      <c r="U148" s="240"/>
      <c r="V148" s="240"/>
      <c r="W148" s="240"/>
      <c r="X148" s="238"/>
      <c r="Y148" s="240"/>
      <c r="Z148" s="240"/>
      <c r="AA148" s="240"/>
      <c r="AB148" s="240"/>
      <c r="AC148" s="240"/>
      <c r="AD148" s="240"/>
      <c r="AE148" s="240"/>
      <c r="AF148" s="240"/>
      <c r="AG148" s="240"/>
      <c r="AH148" s="238"/>
      <c r="AI148" s="240"/>
      <c r="AJ148" s="240"/>
      <c r="AK148" s="240"/>
      <c r="AL148" s="240"/>
      <c r="AM148" s="238"/>
      <c r="AN148" s="240"/>
      <c r="AO148" s="240"/>
      <c r="AP148" s="240"/>
      <c r="AQ148" s="238"/>
      <c r="AR148" s="240"/>
      <c r="AS148" s="240"/>
      <c r="AT148" s="240"/>
      <c r="AU148" s="240"/>
      <c r="AV148" s="240"/>
      <c r="AW148" s="240"/>
      <c r="AX148" s="240"/>
      <c r="AY148" s="240"/>
      <c r="AZ148" s="238"/>
      <c r="BA148" s="240"/>
      <c r="BB148" s="240"/>
      <c r="BC148" s="240"/>
      <c r="BD148" s="240"/>
      <c r="BE148" s="240"/>
      <c r="BF148" s="240"/>
      <c r="BG148" s="240"/>
      <c r="BH148" s="240"/>
      <c r="BI148" s="240"/>
      <c r="BJ148" s="240"/>
      <c r="BK148" s="240"/>
      <c r="BL148" s="240"/>
      <c r="BM148" s="240"/>
      <c r="BN148" s="240"/>
      <c r="BO148" s="240"/>
      <c r="BP148" s="238"/>
      <c r="BQ148" s="240"/>
      <c r="BR148" s="240"/>
      <c r="BS148" s="240"/>
      <c r="BT148" s="240" t="s">
        <v>890</v>
      </c>
      <c r="BU148" s="240"/>
      <c r="BV148" s="240"/>
      <c r="BW148" s="240"/>
      <c r="BX148" s="240"/>
      <c r="BY148" s="240" t="s">
        <v>890</v>
      </c>
      <c r="BZ148" s="240"/>
      <c r="CA148" s="240"/>
      <c r="CB148" s="240"/>
      <c r="CC148" s="240"/>
      <c r="CD148" s="240"/>
      <c r="CE148" s="240"/>
      <c r="CF148" s="238"/>
      <c r="CG148" s="240"/>
      <c r="CH148" s="240"/>
      <c r="CI148" s="240"/>
      <c r="CJ148" s="240"/>
      <c r="CK148" s="240"/>
      <c r="CL148" s="240"/>
      <c r="CM148" s="240"/>
      <c r="CN148" s="240"/>
      <c r="CO148" s="240"/>
      <c r="CP148" s="240"/>
      <c r="CQ148" s="240"/>
      <c r="CR148" s="240"/>
      <c r="CS148" s="238"/>
      <c r="CT148" s="240"/>
      <c r="CU148" s="240"/>
      <c r="CV148" s="240"/>
      <c r="CW148" s="240"/>
      <c r="CX148" s="240"/>
      <c r="CY148" s="240"/>
      <c r="CZ148" s="240"/>
      <c r="DA148" s="240"/>
      <c r="DB148" s="240"/>
      <c r="DC148" s="240"/>
      <c r="DD148" s="240"/>
      <c r="DE148" s="240"/>
      <c r="DF148" s="238"/>
      <c r="DG148" s="240"/>
      <c r="DH148" s="240"/>
      <c r="DI148" s="240"/>
      <c r="DJ148" s="240"/>
      <c r="DK148" s="240"/>
      <c r="DL148" s="240"/>
      <c r="DM148" s="240"/>
      <c r="DN148" s="240"/>
      <c r="DO148" s="240"/>
      <c r="DP148" s="240"/>
      <c r="DQ148" s="240"/>
      <c r="DR148" s="238"/>
      <c r="DS148" s="240"/>
      <c r="DT148" s="240"/>
      <c r="DU148" s="240"/>
      <c r="DV148" s="238"/>
      <c r="DW148" s="240"/>
      <c r="DX148" s="240"/>
      <c r="DY148" s="240"/>
      <c r="DZ148" s="240"/>
      <c r="EA148" s="240"/>
      <c r="EB148" s="240"/>
      <c r="EC148" s="240"/>
      <c r="ED148" s="240"/>
      <c r="EE148" s="240"/>
      <c r="EF148" s="238"/>
      <c r="EG148" s="240"/>
      <c r="EH148" s="240"/>
      <c r="EI148" s="240"/>
      <c r="EJ148" s="238"/>
      <c r="EK148" s="240"/>
      <c r="EL148" s="238"/>
      <c r="EM148" s="240"/>
      <c r="EN148" s="240"/>
      <c r="EO148" s="240"/>
      <c r="EP148" s="240"/>
      <c r="EQ148" s="240"/>
      <c r="ER148" s="240"/>
      <c r="ES148" s="240"/>
      <c r="ET148" s="240"/>
      <c r="EU148" s="240"/>
      <c r="EV148" s="240"/>
      <c r="EW148" s="240"/>
      <c r="EX148" s="238"/>
      <c r="EY148" s="240"/>
      <c r="EZ148" s="240"/>
      <c r="FA148" s="240"/>
      <c r="FB148" s="240"/>
      <c r="FC148" s="240"/>
      <c r="FD148" s="240"/>
      <c r="FE148" s="240"/>
      <c r="FF148" s="240"/>
      <c r="FG148" s="240"/>
      <c r="FH148" s="240"/>
      <c r="FI148" s="240"/>
      <c r="FJ148" s="240"/>
      <c r="FK148" s="240"/>
      <c r="FL148" s="240"/>
      <c r="FM148" s="240"/>
      <c r="FN148" s="240"/>
      <c r="FO148" s="238"/>
      <c r="FP148" s="240"/>
      <c r="FQ148" s="240"/>
      <c r="FR148" s="240"/>
      <c r="FS148" s="240"/>
      <c r="FT148" s="240"/>
      <c r="FU148" s="240"/>
      <c r="FV148" s="240"/>
      <c r="FW148" s="240"/>
      <c r="FX148" s="240"/>
      <c r="FY148" s="240"/>
      <c r="FZ148" s="238"/>
      <c r="GA148" s="240"/>
      <c r="GB148" s="240"/>
      <c r="GC148" s="238"/>
      <c r="GD148" s="240"/>
      <c r="GE148" s="240"/>
      <c r="GF148" s="240"/>
      <c r="GG148" s="240"/>
      <c r="GH148" s="238"/>
      <c r="GI148" s="240"/>
      <c r="GJ148" s="240"/>
      <c r="GK148" s="240"/>
      <c r="GL148" s="240"/>
      <c r="GM148" s="238"/>
      <c r="GN148" s="240"/>
      <c r="GO148" s="240"/>
      <c r="GP148" s="240"/>
      <c r="GQ148" s="240"/>
      <c r="GR148" s="240"/>
      <c r="GS148" s="240"/>
      <c r="GT148" s="240"/>
      <c r="GU148" s="240"/>
      <c r="GV148" s="240"/>
      <c r="GW148" s="240"/>
      <c r="GX148" s="240"/>
      <c r="GY148" s="240"/>
      <c r="GZ148" s="240"/>
      <c r="HA148" s="240"/>
      <c r="HB148" s="240"/>
      <c r="HC148" s="240"/>
      <c r="HD148" s="238"/>
      <c r="HE148" s="240"/>
      <c r="HF148" s="240"/>
      <c r="HG148" s="240"/>
      <c r="HH148" s="240"/>
      <c r="HI148" s="240"/>
      <c r="HJ148" s="238"/>
      <c r="HK148" s="240"/>
      <c r="HL148" s="238"/>
      <c r="HM148" s="241"/>
      <c r="HN148" s="235"/>
      <c r="HO148" s="235"/>
      <c r="HP148" s="235"/>
      <c r="HQ148" s="235"/>
    </row>
    <row r="149" spans="2:225" ht="37.5" hidden="1" outlineLevel="2">
      <c r="B149" s="251" t="s">
        <v>1790</v>
      </c>
      <c r="C149" s="252" t="str">
        <f>IF(E141='3. Dropdowns'!C119,"Show",IF(E141="","Show","Hide"))</f>
        <v>Show</v>
      </c>
      <c r="D149" s="236" t="s">
        <v>3241</v>
      </c>
      <c r="E149" s="248"/>
      <c r="F149" s="284" t="str">
        <f>IF(E149='3. Dropdowns'!C115,"","Submittals, Products")</f>
        <v>Submittals, Products</v>
      </c>
      <c r="G149" s="268"/>
      <c r="H149" s="238"/>
      <c r="I149" s="239" t="s">
        <v>890</v>
      </c>
      <c r="J149" s="240"/>
      <c r="K149" s="240"/>
      <c r="L149" s="240"/>
      <c r="M149" s="240"/>
      <c r="N149" s="240"/>
      <c r="O149" s="240"/>
      <c r="P149" s="240"/>
      <c r="Q149" s="240"/>
      <c r="R149" s="240"/>
      <c r="S149" s="240"/>
      <c r="T149" s="240" t="s">
        <v>890</v>
      </c>
      <c r="U149" s="240"/>
      <c r="V149" s="240"/>
      <c r="W149" s="240"/>
      <c r="X149" s="238"/>
      <c r="Y149" s="240"/>
      <c r="Z149" s="240"/>
      <c r="AA149" s="240"/>
      <c r="AB149" s="240"/>
      <c r="AC149" s="240"/>
      <c r="AD149" s="240"/>
      <c r="AE149" s="240"/>
      <c r="AF149" s="240"/>
      <c r="AG149" s="240"/>
      <c r="AH149" s="238"/>
      <c r="AI149" s="240"/>
      <c r="AJ149" s="240"/>
      <c r="AK149" s="240"/>
      <c r="AL149" s="240"/>
      <c r="AM149" s="238"/>
      <c r="AN149" s="240"/>
      <c r="AO149" s="240"/>
      <c r="AP149" s="240"/>
      <c r="AQ149" s="238"/>
      <c r="AR149" s="240"/>
      <c r="AS149" s="240"/>
      <c r="AT149" s="240"/>
      <c r="AU149" s="240"/>
      <c r="AV149" s="240"/>
      <c r="AW149" s="240"/>
      <c r="AX149" s="240"/>
      <c r="AY149" s="240"/>
      <c r="AZ149" s="238"/>
      <c r="BA149" s="240"/>
      <c r="BB149" s="240"/>
      <c r="BC149" s="240"/>
      <c r="BD149" s="240"/>
      <c r="BE149" s="240"/>
      <c r="BF149" s="240"/>
      <c r="BG149" s="240"/>
      <c r="BH149" s="240"/>
      <c r="BI149" s="240"/>
      <c r="BJ149" s="240"/>
      <c r="BK149" s="240"/>
      <c r="BL149" s="240"/>
      <c r="BM149" s="240"/>
      <c r="BN149" s="240" t="s">
        <v>890</v>
      </c>
      <c r="BO149" s="240"/>
      <c r="BP149" s="238"/>
      <c r="BQ149" s="240"/>
      <c r="BR149" s="240"/>
      <c r="BS149" s="240"/>
      <c r="BT149" s="240"/>
      <c r="BU149" s="240"/>
      <c r="BV149" s="240"/>
      <c r="BW149" s="240"/>
      <c r="BX149" s="240"/>
      <c r="BY149" s="240" t="s">
        <v>890</v>
      </c>
      <c r="BZ149" s="240" t="s">
        <v>890</v>
      </c>
      <c r="CA149" s="240"/>
      <c r="CB149" s="240"/>
      <c r="CC149" s="240"/>
      <c r="CD149" s="240"/>
      <c r="CE149" s="240"/>
      <c r="CF149" s="238"/>
      <c r="CG149" s="240"/>
      <c r="CH149" s="240"/>
      <c r="CI149" s="240"/>
      <c r="CJ149" s="240"/>
      <c r="CK149" s="240"/>
      <c r="CL149" s="240"/>
      <c r="CM149" s="240"/>
      <c r="CN149" s="240"/>
      <c r="CO149" s="240"/>
      <c r="CP149" s="240"/>
      <c r="CQ149" s="240"/>
      <c r="CR149" s="240"/>
      <c r="CS149" s="238"/>
      <c r="CT149" s="240"/>
      <c r="CU149" s="240"/>
      <c r="CV149" s="240"/>
      <c r="CW149" s="240"/>
      <c r="CX149" s="240"/>
      <c r="CY149" s="240"/>
      <c r="CZ149" s="240"/>
      <c r="DA149" s="240"/>
      <c r="DB149" s="240"/>
      <c r="DC149" s="240"/>
      <c r="DD149" s="240"/>
      <c r="DE149" s="240"/>
      <c r="DF149" s="238"/>
      <c r="DG149" s="240"/>
      <c r="DH149" s="240"/>
      <c r="DI149" s="240"/>
      <c r="DJ149" s="240"/>
      <c r="DK149" s="240"/>
      <c r="DL149" s="240"/>
      <c r="DM149" s="240"/>
      <c r="DN149" s="240"/>
      <c r="DO149" s="240"/>
      <c r="DP149" s="240"/>
      <c r="DQ149" s="240"/>
      <c r="DR149" s="238"/>
      <c r="DS149" s="240"/>
      <c r="DT149" s="240"/>
      <c r="DU149" s="240"/>
      <c r="DV149" s="238"/>
      <c r="DW149" s="240"/>
      <c r="DX149" s="240"/>
      <c r="DY149" s="240"/>
      <c r="DZ149" s="240"/>
      <c r="EA149" s="240"/>
      <c r="EB149" s="240"/>
      <c r="EC149" s="240"/>
      <c r="ED149" s="240"/>
      <c r="EE149" s="240"/>
      <c r="EF149" s="238"/>
      <c r="EG149" s="240"/>
      <c r="EH149" s="240"/>
      <c r="EI149" s="240"/>
      <c r="EJ149" s="238"/>
      <c r="EK149" s="240"/>
      <c r="EL149" s="238"/>
      <c r="EM149" s="240"/>
      <c r="EN149" s="240"/>
      <c r="EO149" s="240"/>
      <c r="EP149" s="240"/>
      <c r="EQ149" s="240"/>
      <c r="ER149" s="240"/>
      <c r="ES149" s="240"/>
      <c r="ET149" s="240"/>
      <c r="EU149" s="240"/>
      <c r="EV149" s="240"/>
      <c r="EW149" s="240"/>
      <c r="EX149" s="238"/>
      <c r="EY149" s="240"/>
      <c r="EZ149" s="240"/>
      <c r="FA149" s="240"/>
      <c r="FB149" s="240"/>
      <c r="FC149" s="240"/>
      <c r="FD149" s="240"/>
      <c r="FE149" s="240"/>
      <c r="FF149" s="240"/>
      <c r="FG149" s="240"/>
      <c r="FH149" s="240"/>
      <c r="FI149" s="240"/>
      <c r="FJ149" s="240"/>
      <c r="FK149" s="240"/>
      <c r="FL149" s="240"/>
      <c r="FM149" s="240"/>
      <c r="FN149" s="240"/>
      <c r="FO149" s="238"/>
      <c r="FP149" s="240"/>
      <c r="FQ149" s="240"/>
      <c r="FR149" s="240"/>
      <c r="FS149" s="240"/>
      <c r="FT149" s="240"/>
      <c r="FU149" s="240"/>
      <c r="FV149" s="240"/>
      <c r="FW149" s="240"/>
      <c r="FX149" s="240"/>
      <c r="FY149" s="240"/>
      <c r="FZ149" s="238"/>
      <c r="GA149" s="240"/>
      <c r="GB149" s="240"/>
      <c r="GC149" s="238"/>
      <c r="GD149" s="240"/>
      <c r="GE149" s="240"/>
      <c r="GF149" s="240"/>
      <c r="GG149" s="240"/>
      <c r="GH149" s="238"/>
      <c r="GI149" s="240"/>
      <c r="GJ149" s="240"/>
      <c r="GK149" s="240"/>
      <c r="GL149" s="240"/>
      <c r="GM149" s="238"/>
      <c r="GN149" s="240"/>
      <c r="GO149" s="240"/>
      <c r="GP149" s="240"/>
      <c r="GQ149" s="240"/>
      <c r="GR149" s="240"/>
      <c r="GS149" s="240"/>
      <c r="GT149" s="240"/>
      <c r="GU149" s="240"/>
      <c r="GV149" s="240"/>
      <c r="GW149" s="240"/>
      <c r="GX149" s="240"/>
      <c r="GY149" s="240"/>
      <c r="GZ149" s="240"/>
      <c r="HA149" s="240"/>
      <c r="HB149" s="240"/>
      <c r="HC149" s="240"/>
      <c r="HD149" s="238"/>
      <c r="HE149" s="240"/>
      <c r="HF149" s="240"/>
      <c r="HG149" s="240"/>
      <c r="HH149" s="240"/>
      <c r="HI149" s="240"/>
      <c r="HJ149" s="238"/>
      <c r="HK149" s="240"/>
      <c r="HL149" s="238"/>
      <c r="HM149" s="241"/>
      <c r="HN149" s="235"/>
      <c r="HO149" s="235"/>
      <c r="HP149" s="235"/>
      <c r="HQ149" s="235"/>
    </row>
    <row r="150" spans="2:225" ht="37.5" hidden="1" outlineLevel="2">
      <c r="B150" s="251" t="s">
        <v>1790</v>
      </c>
      <c r="C150" s="252" t="str">
        <f>IF(E141='3. Dropdowns'!C119,"Show",IF(E141="","Show","Hide"))</f>
        <v>Show</v>
      </c>
      <c r="D150" s="236" t="s">
        <v>3391</v>
      </c>
      <c r="E150" s="248"/>
      <c r="F150" s="284" t="str">
        <f>IF(E150='3. Dropdowns'!C115,"","Execution")</f>
        <v>Execution</v>
      </c>
      <c r="G150" s="268"/>
      <c r="H150" s="238"/>
      <c r="I150" s="239" t="s">
        <v>890</v>
      </c>
      <c r="J150" s="240"/>
      <c r="K150" s="240"/>
      <c r="L150" s="240"/>
      <c r="M150" s="240"/>
      <c r="N150" s="240"/>
      <c r="O150" s="240"/>
      <c r="P150" s="240"/>
      <c r="Q150" s="240"/>
      <c r="R150" s="240"/>
      <c r="S150" s="240"/>
      <c r="T150" s="240" t="s">
        <v>890</v>
      </c>
      <c r="U150" s="240"/>
      <c r="V150" s="240"/>
      <c r="W150" s="240"/>
      <c r="X150" s="238"/>
      <c r="Y150" s="240"/>
      <c r="Z150" s="240"/>
      <c r="AA150" s="240"/>
      <c r="AB150" s="240"/>
      <c r="AC150" s="240"/>
      <c r="AD150" s="240"/>
      <c r="AE150" s="240"/>
      <c r="AF150" s="240"/>
      <c r="AG150" s="240"/>
      <c r="AH150" s="238"/>
      <c r="AI150" s="240"/>
      <c r="AJ150" s="240"/>
      <c r="AK150" s="240"/>
      <c r="AL150" s="240"/>
      <c r="AM150" s="238"/>
      <c r="AN150" s="240"/>
      <c r="AO150" s="240"/>
      <c r="AP150" s="240"/>
      <c r="AQ150" s="238"/>
      <c r="AR150" s="240"/>
      <c r="AS150" s="240"/>
      <c r="AT150" s="240"/>
      <c r="AU150" s="240"/>
      <c r="AV150" s="240"/>
      <c r="AW150" s="240"/>
      <c r="AX150" s="240"/>
      <c r="AY150" s="240"/>
      <c r="AZ150" s="238"/>
      <c r="BA150" s="240"/>
      <c r="BB150" s="240"/>
      <c r="BC150" s="240"/>
      <c r="BD150" s="240"/>
      <c r="BE150" s="240"/>
      <c r="BF150" s="240"/>
      <c r="BG150" s="240"/>
      <c r="BH150" s="240"/>
      <c r="BI150" s="240"/>
      <c r="BJ150" s="240"/>
      <c r="BK150" s="240"/>
      <c r="BL150" s="240"/>
      <c r="BM150" s="240"/>
      <c r="BN150" s="240"/>
      <c r="BO150" s="240"/>
      <c r="BP150" s="238"/>
      <c r="BQ150" s="240"/>
      <c r="BR150" s="240"/>
      <c r="BS150" s="240"/>
      <c r="BT150" s="240"/>
      <c r="BU150" s="240"/>
      <c r="BV150" s="240"/>
      <c r="BW150" s="240"/>
      <c r="BX150" s="240"/>
      <c r="BY150" s="240" t="s">
        <v>890</v>
      </c>
      <c r="BZ150" s="240" t="s">
        <v>890</v>
      </c>
      <c r="CA150" s="240"/>
      <c r="CB150" s="240"/>
      <c r="CC150" s="240"/>
      <c r="CD150" s="240"/>
      <c r="CE150" s="240"/>
      <c r="CF150" s="238"/>
      <c r="CG150" s="240"/>
      <c r="CH150" s="240"/>
      <c r="CI150" s="240"/>
      <c r="CJ150" s="240"/>
      <c r="CK150" s="240"/>
      <c r="CL150" s="240"/>
      <c r="CM150" s="240"/>
      <c r="CN150" s="240"/>
      <c r="CO150" s="240"/>
      <c r="CP150" s="240"/>
      <c r="CQ150" s="240"/>
      <c r="CR150" s="240"/>
      <c r="CS150" s="238"/>
      <c r="CT150" s="240"/>
      <c r="CU150" s="240"/>
      <c r="CV150" s="240"/>
      <c r="CW150" s="240"/>
      <c r="CX150" s="240"/>
      <c r="CY150" s="240"/>
      <c r="CZ150" s="240"/>
      <c r="DA150" s="240"/>
      <c r="DB150" s="240"/>
      <c r="DC150" s="240"/>
      <c r="DD150" s="240"/>
      <c r="DE150" s="240"/>
      <c r="DF150" s="238"/>
      <c r="DG150" s="240"/>
      <c r="DH150" s="240"/>
      <c r="DI150" s="240"/>
      <c r="DJ150" s="240"/>
      <c r="DK150" s="240"/>
      <c r="DL150" s="240"/>
      <c r="DM150" s="240"/>
      <c r="DN150" s="240"/>
      <c r="DO150" s="240"/>
      <c r="DP150" s="240"/>
      <c r="DQ150" s="240"/>
      <c r="DR150" s="238"/>
      <c r="DS150" s="240"/>
      <c r="DT150" s="240"/>
      <c r="DU150" s="240"/>
      <c r="DV150" s="238"/>
      <c r="DW150" s="240"/>
      <c r="DX150" s="240"/>
      <c r="DY150" s="240"/>
      <c r="DZ150" s="240"/>
      <c r="EA150" s="240"/>
      <c r="EB150" s="240"/>
      <c r="EC150" s="240"/>
      <c r="ED150" s="240"/>
      <c r="EE150" s="240"/>
      <c r="EF150" s="238"/>
      <c r="EG150" s="240"/>
      <c r="EH150" s="240"/>
      <c r="EI150" s="240"/>
      <c r="EJ150" s="238"/>
      <c r="EK150" s="240"/>
      <c r="EL150" s="238"/>
      <c r="EM150" s="240"/>
      <c r="EN150" s="240"/>
      <c r="EO150" s="240"/>
      <c r="EP150" s="240"/>
      <c r="EQ150" s="240"/>
      <c r="ER150" s="240"/>
      <c r="ES150" s="240"/>
      <c r="ET150" s="240"/>
      <c r="EU150" s="240"/>
      <c r="EV150" s="240"/>
      <c r="EW150" s="240"/>
      <c r="EX150" s="238"/>
      <c r="EY150" s="240"/>
      <c r="EZ150" s="240"/>
      <c r="FA150" s="240"/>
      <c r="FB150" s="240"/>
      <c r="FC150" s="240"/>
      <c r="FD150" s="240"/>
      <c r="FE150" s="240"/>
      <c r="FF150" s="240"/>
      <c r="FG150" s="240"/>
      <c r="FH150" s="240"/>
      <c r="FI150" s="240"/>
      <c r="FJ150" s="240"/>
      <c r="FK150" s="240"/>
      <c r="FL150" s="240"/>
      <c r="FM150" s="240"/>
      <c r="FN150" s="240"/>
      <c r="FO150" s="238"/>
      <c r="FP150" s="240"/>
      <c r="FQ150" s="240"/>
      <c r="FR150" s="240"/>
      <c r="FS150" s="240"/>
      <c r="FT150" s="240"/>
      <c r="FU150" s="240"/>
      <c r="FV150" s="240"/>
      <c r="FW150" s="240"/>
      <c r="FX150" s="240"/>
      <c r="FY150" s="240"/>
      <c r="FZ150" s="238"/>
      <c r="GA150" s="240"/>
      <c r="GB150" s="240"/>
      <c r="GC150" s="238"/>
      <c r="GD150" s="240"/>
      <c r="GE150" s="240"/>
      <c r="GF150" s="240"/>
      <c r="GG150" s="240"/>
      <c r="GH150" s="238"/>
      <c r="GI150" s="240"/>
      <c r="GJ150" s="240"/>
      <c r="GK150" s="240"/>
      <c r="GL150" s="240"/>
      <c r="GM150" s="238"/>
      <c r="GN150" s="240"/>
      <c r="GO150" s="240"/>
      <c r="GP150" s="240"/>
      <c r="GQ150" s="240"/>
      <c r="GR150" s="240"/>
      <c r="GS150" s="240"/>
      <c r="GT150" s="240"/>
      <c r="GU150" s="240"/>
      <c r="GV150" s="240"/>
      <c r="GW150" s="240"/>
      <c r="GX150" s="240"/>
      <c r="GY150" s="240"/>
      <c r="GZ150" s="240"/>
      <c r="HA150" s="240"/>
      <c r="HB150" s="240"/>
      <c r="HC150" s="240"/>
      <c r="HD150" s="238"/>
      <c r="HE150" s="240"/>
      <c r="HF150" s="240"/>
      <c r="HG150" s="240"/>
      <c r="HH150" s="240"/>
      <c r="HI150" s="240"/>
      <c r="HJ150" s="238"/>
      <c r="HK150" s="240"/>
      <c r="HL150" s="238"/>
      <c r="HM150" s="241"/>
      <c r="HN150" s="235"/>
      <c r="HO150" s="235"/>
      <c r="HP150" s="235"/>
      <c r="HQ150" s="235"/>
    </row>
    <row r="151" spans="2:225" hidden="1" outlineLevel="2">
      <c r="B151" s="251" t="s">
        <v>1790</v>
      </c>
      <c r="C151" s="252" t="str">
        <f>IF(E141='3. Dropdowns'!C119,"Show",IF(E141="","Show","Hide"))</f>
        <v>Show</v>
      </c>
      <c r="D151" s="236" t="s">
        <v>3242</v>
      </c>
      <c r="E151" s="248"/>
      <c r="F151" s="284" t="str">
        <f>IF(E151='3. Dropdowns'!C115,"","Products, Execution")</f>
        <v>Products, Execution</v>
      </c>
      <c r="G151" s="268"/>
      <c r="H151" s="238"/>
      <c r="I151" s="239" t="s">
        <v>890</v>
      </c>
      <c r="J151" s="240"/>
      <c r="K151" s="240"/>
      <c r="L151" s="240"/>
      <c r="M151" s="240"/>
      <c r="N151" s="240"/>
      <c r="O151" s="240"/>
      <c r="P151" s="240"/>
      <c r="Q151" s="240"/>
      <c r="R151" s="240"/>
      <c r="S151" s="240"/>
      <c r="T151" s="240" t="s">
        <v>890</v>
      </c>
      <c r="U151" s="240"/>
      <c r="V151" s="240"/>
      <c r="W151" s="240"/>
      <c r="X151" s="238"/>
      <c r="Y151" s="240"/>
      <c r="Z151" s="240"/>
      <c r="AA151" s="240"/>
      <c r="AB151" s="240"/>
      <c r="AC151" s="240"/>
      <c r="AD151" s="240"/>
      <c r="AE151" s="240"/>
      <c r="AF151" s="240"/>
      <c r="AG151" s="240"/>
      <c r="AH151" s="238"/>
      <c r="AI151" s="240"/>
      <c r="AJ151" s="240"/>
      <c r="AK151" s="240"/>
      <c r="AL151" s="240"/>
      <c r="AM151" s="238"/>
      <c r="AN151" s="240"/>
      <c r="AO151" s="240"/>
      <c r="AP151" s="240"/>
      <c r="AQ151" s="238"/>
      <c r="AR151" s="240"/>
      <c r="AS151" s="240"/>
      <c r="AT151" s="240"/>
      <c r="AU151" s="240"/>
      <c r="AV151" s="240"/>
      <c r="AW151" s="240"/>
      <c r="AX151" s="240"/>
      <c r="AY151" s="240"/>
      <c r="AZ151" s="238"/>
      <c r="BA151" s="240"/>
      <c r="BB151" s="240"/>
      <c r="BC151" s="240"/>
      <c r="BD151" s="240"/>
      <c r="BE151" s="240"/>
      <c r="BF151" s="240"/>
      <c r="BG151" s="240"/>
      <c r="BH151" s="240" t="s">
        <v>890</v>
      </c>
      <c r="BI151" s="240"/>
      <c r="BJ151" s="240"/>
      <c r="BK151" s="240"/>
      <c r="BL151" s="240"/>
      <c r="BM151" s="240"/>
      <c r="BN151" s="240"/>
      <c r="BO151" s="240"/>
      <c r="BP151" s="238"/>
      <c r="BQ151" s="240"/>
      <c r="BR151" s="240"/>
      <c r="BS151" s="240"/>
      <c r="BT151" s="240"/>
      <c r="BU151" s="240"/>
      <c r="BV151" s="240"/>
      <c r="BW151" s="240"/>
      <c r="BX151" s="240"/>
      <c r="BY151" s="240" t="s">
        <v>890</v>
      </c>
      <c r="BZ151" s="240" t="s">
        <v>890</v>
      </c>
      <c r="CA151" s="240"/>
      <c r="CB151" s="240"/>
      <c r="CC151" s="240"/>
      <c r="CD151" s="240"/>
      <c r="CE151" s="240"/>
      <c r="CF151" s="238"/>
      <c r="CG151" s="240"/>
      <c r="CH151" s="240"/>
      <c r="CI151" s="240"/>
      <c r="CJ151" s="240"/>
      <c r="CK151" s="240"/>
      <c r="CL151" s="240"/>
      <c r="CM151" s="240"/>
      <c r="CN151" s="240"/>
      <c r="CO151" s="240"/>
      <c r="CP151" s="240"/>
      <c r="CQ151" s="240"/>
      <c r="CR151" s="240"/>
      <c r="CS151" s="238"/>
      <c r="CT151" s="240"/>
      <c r="CU151" s="240"/>
      <c r="CV151" s="240"/>
      <c r="CW151" s="240"/>
      <c r="CX151" s="240"/>
      <c r="CY151" s="240"/>
      <c r="CZ151" s="240"/>
      <c r="DA151" s="240"/>
      <c r="DB151" s="240"/>
      <c r="DC151" s="240"/>
      <c r="DD151" s="240"/>
      <c r="DE151" s="240"/>
      <c r="DF151" s="238"/>
      <c r="DG151" s="240"/>
      <c r="DH151" s="240"/>
      <c r="DI151" s="240"/>
      <c r="DJ151" s="240"/>
      <c r="DK151" s="240"/>
      <c r="DL151" s="240"/>
      <c r="DM151" s="240"/>
      <c r="DN151" s="240"/>
      <c r="DO151" s="240"/>
      <c r="DP151" s="240"/>
      <c r="DQ151" s="240"/>
      <c r="DR151" s="238"/>
      <c r="DS151" s="240"/>
      <c r="DT151" s="240"/>
      <c r="DU151" s="240"/>
      <c r="DV151" s="238"/>
      <c r="DW151" s="240"/>
      <c r="DX151" s="240"/>
      <c r="DY151" s="240"/>
      <c r="DZ151" s="240"/>
      <c r="EA151" s="240"/>
      <c r="EB151" s="240"/>
      <c r="EC151" s="240"/>
      <c r="ED151" s="240"/>
      <c r="EE151" s="240"/>
      <c r="EF151" s="238"/>
      <c r="EG151" s="240"/>
      <c r="EH151" s="240"/>
      <c r="EI151" s="240"/>
      <c r="EJ151" s="238"/>
      <c r="EK151" s="240"/>
      <c r="EL151" s="238"/>
      <c r="EM151" s="240"/>
      <c r="EN151" s="240"/>
      <c r="EO151" s="240"/>
      <c r="EP151" s="240"/>
      <c r="EQ151" s="240"/>
      <c r="ER151" s="240"/>
      <c r="ES151" s="240"/>
      <c r="ET151" s="240"/>
      <c r="EU151" s="240"/>
      <c r="EV151" s="240"/>
      <c r="EW151" s="240"/>
      <c r="EX151" s="238"/>
      <c r="EY151" s="240"/>
      <c r="EZ151" s="240"/>
      <c r="FA151" s="240"/>
      <c r="FB151" s="240"/>
      <c r="FC151" s="240"/>
      <c r="FD151" s="240"/>
      <c r="FE151" s="240"/>
      <c r="FF151" s="240"/>
      <c r="FG151" s="240"/>
      <c r="FH151" s="240"/>
      <c r="FI151" s="240"/>
      <c r="FJ151" s="240"/>
      <c r="FK151" s="240"/>
      <c r="FL151" s="240"/>
      <c r="FM151" s="240"/>
      <c r="FN151" s="240"/>
      <c r="FO151" s="238"/>
      <c r="FP151" s="240"/>
      <c r="FQ151" s="240"/>
      <c r="FR151" s="240"/>
      <c r="FS151" s="240"/>
      <c r="FT151" s="240"/>
      <c r="FU151" s="240"/>
      <c r="FV151" s="240"/>
      <c r="FW151" s="240"/>
      <c r="FX151" s="240"/>
      <c r="FY151" s="240"/>
      <c r="FZ151" s="238"/>
      <c r="GA151" s="240"/>
      <c r="GB151" s="240"/>
      <c r="GC151" s="238"/>
      <c r="GD151" s="240"/>
      <c r="GE151" s="240"/>
      <c r="GF151" s="240"/>
      <c r="GG151" s="240"/>
      <c r="GH151" s="238"/>
      <c r="GI151" s="240"/>
      <c r="GJ151" s="240"/>
      <c r="GK151" s="240"/>
      <c r="GL151" s="240"/>
      <c r="GM151" s="238"/>
      <c r="GN151" s="240"/>
      <c r="GO151" s="240"/>
      <c r="GP151" s="240"/>
      <c r="GQ151" s="240"/>
      <c r="GR151" s="240"/>
      <c r="GS151" s="240"/>
      <c r="GT151" s="240"/>
      <c r="GU151" s="240"/>
      <c r="GV151" s="240"/>
      <c r="GW151" s="240"/>
      <c r="GX151" s="240"/>
      <c r="GY151" s="240"/>
      <c r="GZ151" s="240"/>
      <c r="HA151" s="240"/>
      <c r="HB151" s="240"/>
      <c r="HC151" s="240"/>
      <c r="HD151" s="238"/>
      <c r="HE151" s="240"/>
      <c r="HF151" s="240"/>
      <c r="HG151" s="240"/>
      <c r="HH151" s="240"/>
      <c r="HI151" s="240"/>
      <c r="HJ151" s="238"/>
      <c r="HK151" s="240"/>
      <c r="HL151" s="238"/>
      <c r="HM151" s="241"/>
      <c r="HN151" s="235"/>
      <c r="HO151" s="235"/>
      <c r="HP151" s="235"/>
      <c r="HQ151" s="235"/>
    </row>
    <row r="152" spans="2:225" ht="42.95" hidden="1" customHeight="1" outlineLevel="1" collapsed="1">
      <c r="B152" s="251" t="s">
        <v>1790</v>
      </c>
      <c r="C152" s="252" t="str">
        <f>IF(E141='3. Dropdowns'!C119,"Show",IF(E141="","Show","Hide"))</f>
        <v>Show</v>
      </c>
      <c r="D152" s="236" t="s">
        <v>3243</v>
      </c>
      <c r="E152" s="284"/>
      <c r="F152" s="284" t="s">
        <v>540</v>
      </c>
      <c r="G152" s="268"/>
      <c r="H152" s="238"/>
      <c r="I152" s="239" t="s">
        <v>890</v>
      </c>
      <c r="J152" s="240"/>
      <c r="K152" s="240"/>
      <c r="L152" s="240"/>
      <c r="M152" s="240"/>
      <c r="N152" s="240"/>
      <c r="O152" s="240"/>
      <c r="P152" s="240"/>
      <c r="Q152" s="240"/>
      <c r="R152" s="240"/>
      <c r="S152" s="240"/>
      <c r="T152" s="240" t="s">
        <v>890</v>
      </c>
      <c r="U152" s="240"/>
      <c r="V152" s="240"/>
      <c r="W152" s="240"/>
      <c r="X152" s="238"/>
      <c r="Y152" s="240"/>
      <c r="Z152" s="240"/>
      <c r="AA152" s="240"/>
      <c r="AB152" s="240"/>
      <c r="AC152" s="240"/>
      <c r="AD152" s="240"/>
      <c r="AE152" s="240"/>
      <c r="AF152" s="240"/>
      <c r="AG152" s="240"/>
      <c r="AH152" s="238"/>
      <c r="AI152" s="240"/>
      <c r="AJ152" s="240"/>
      <c r="AK152" s="240"/>
      <c r="AL152" s="240"/>
      <c r="AM152" s="238"/>
      <c r="AN152" s="240"/>
      <c r="AO152" s="240"/>
      <c r="AP152" s="240"/>
      <c r="AQ152" s="238"/>
      <c r="AR152" s="240"/>
      <c r="AS152" s="240"/>
      <c r="AT152" s="240"/>
      <c r="AU152" s="240"/>
      <c r="AV152" s="240"/>
      <c r="AW152" s="240"/>
      <c r="AX152" s="240"/>
      <c r="AY152" s="240"/>
      <c r="AZ152" s="238"/>
      <c r="BA152" s="240"/>
      <c r="BB152" s="240"/>
      <c r="BC152" s="240"/>
      <c r="BD152" s="240"/>
      <c r="BE152" s="240"/>
      <c r="BF152" s="240"/>
      <c r="BG152" s="240"/>
      <c r="BH152" s="240"/>
      <c r="BI152" s="240"/>
      <c r="BJ152" s="240"/>
      <c r="BK152" s="240"/>
      <c r="BL152" s="240"/>
      <c r="BM152" s="240"/>
      <c r="BN152" s="240"/>
      <c r="BO152" s="240"/>
      <c r="BP152" s="238"/>
      <c r="BQ152" s="240"/>
      <c r="BR152" s="240"/>
      <c r="BS152" s="240"/>
      <c r="BT152" s="240"/>
      <c r="BU152" s="240"/>
      <c r="BV152" s="240"/>
      <c r="BW152" s="240"/>
      <c r="BX152" s="240"/>
      <c r="BY152" s="240"/>
      <c r="BZ152" s="240"/>
      <c r="CA152" s="240"/>
      <c r="CB152" s="240"/>
      <c r="CC152" s="240"/>
      <c r="CD152" s="240"/>
      <c r="CE152" s="240"/>
      <c r="CF152" s="238"/>
      <c r="CG152" s="240"/>
      <c r="CH152" s="240"/>
      <c r="CI152" s="240"/>
      <c r="CJ152" s="240"/>
      <c r="CK152" s="240"/>
      <c r="CL152" s="240"/>
      <c r="CM152" s="240"/>
      <c r="CN152" s="240"/>
      <c r="CO152" s="240"/>
      <c r="CP152" s="240"/>
      <c r="CQ152" s="240"/>
      <c r="CR152" s="240"/>
      <c r="CS152" s="238"/>
      <c r="CT152" s="240"/>
      <c r="CU152" s="240"/>
      <c r="CV152" s="240"/>
      <c r="CW152" s="240"/>
      <c r="CX152" s="240"/>
      <c r="CY152" s="240"/>
      <c r="CZ152" s="240"/>
      <c r="DA152" s="240"/>
      <c r="DB152" s="240"/>
      <c r="DC152" s="240"/>
      <c r="DD152" s="240"/>
      <c r="DE152" s="240"/>
      <c r="DF152" s="238"/>
      <c r="DG152" s="240"/>
      <c r="DH152" s="240"/>
      <c r="DI152" s="240"/>
      <c r="DJ152" s="240"/>
      <c r="DK152" s="240"/>
      <c r="DL152" s="240"/>
      <c r="DM152" s="240"/>
      <c r="DN152" s="240"/>
      <c r="DO152" s="240"/>
      <c r="DP152" s="240"/>
      <c r="DQ152" s="240"/>
      <c r="DR152" s="238"/>
      <c r="DS152" s="240"/>
      <c r="DT152" s="240"/>
      <c r="DU152" s="240"/>
      <c r="DV152" s="238"/>
      <c r="DW152" s="240"/>
      <c r="DX152" s="240"/>
      <c r="DY152" s="240"/>
      <c r="DZ152" s="240"/>
      <c r="EA152" s="240"/>
      <c r="EB152" s="240"/>
      <c r="EC152" s="240"/>
      <c r="ED152" s="240"/>
      <c r="EE152" s="240"/>
      <c r="EF152" s="238"/>
      <c r="EG152" s="240"/>
      <c r="EH152" s="240"/>
      <c r="EI152" s="240"/>
      <c r="EJ152" s="238"/>
      <c r="EK152" s="240"/>
      <c r="EL152" s="238" t="s">
        <v>890</v>
      </c>
      <c r="EM152" s="240"/>
      <c r="EN152" s="240"/>
      <c r="EO152" s="240"/>
      <c r="EP152" s="240"/>
      <c r="EQ152" s="240" t="s">
        <v>890</v>
      </c>
      <c r="ER152" s="240" t="s">
        <v>890</v>
      </c>
      <c r="ES152" s="240"/>
      <c r="ET152" s="240"/>
      <c r="EU152" s="240"/>
      <c r="EV152" s="240"/>
      <c r="EW152" s="240"/>
      <c r="EX152" s="238" t="s">
        <v>890</v>
      </c>
      <c r="EY152" s="240"/>
      <c r="EZ152" s="240"/>
      <c r="FA152" s="240"/>
      <c r="FB152" s="240"/>
      <c r="FC152" s="240"/>
      <c r="FD152" s="240"/>
      <c r="FE152" s="240"/>
      <c r="FF152" s="240"/>
      <c r="FG152" s="240"/>
      <c r="FH152" s="240"/>
      <c r="FI152" s="240"/>
      <c r="FJ152" s="240"/>
      <c r="FK152" s="240"/>
      <c r="FL152" s="240"/>
      <c r="FM152" s="240"/>
      <c r="FN152" s="240"/>
      <c r="FO152" s="238" t="s">
        <v>890</v>
      </c>
      <c r="FP152" s="240"/>
      <c r="FQ152" s="240"/>
      <c r="FR152" s="240"/>
      <c r="FS152" s="240"/>
      <c r="FT152" s="240"/>
      <c r="FU152" s="240" t="s">
        <v>890</v>
      </c>
      <c r="FV152" s="240"/>
      <c r="FW152" s="240"/>
      <c r="FX152" s="240"/>
      <c r="FY152" s="240"/>
      <c r="FZ152" s="238"/>
      <c r="GA152" s="240"/>
      <c r="GB152" s="240"/>
      <c r="GC152" s="238"/>
      <c r="GD152" s="240"/>
      <c r="GE152" s="240"/>
      <c r="GF152" s="240"/>
      <c r="GG152" s="240"/>
      <c r="GH152" s="238"/>
      <c r="GI152" s="240"/>
      <c r="GJ152" s="240"/>
      <c r="GK152" s="240"/>
      <c r="GL152" s="240"/>
      <c r="GM152" s="238"/>
      <c r="GN152" s="240"/>
      <c r="GO152" s="240"/>
      <c r="GP152" s="240"/>
      <c r="GQ152" s="240"/>
      <c r="GR152" s="240"/>
      <c r="GS152" s="240"/>
      <c r="GT152" s="240"/>
      <c r="GU152" s="240"/>
      <c r="GV152" s="240"/>
      <c r="GW152" s="240"/>
      <c r="GX152" s="240"/>
      <c r="GY152" s="240"/>
      <c r="GZ152" s="240"/>
      <c r="HA152" s="240"/>
      <c r="HB152" s="240"/>
      <c r="HC152" s="240"/>
      <c r="HD152" s="238" t="s">
        <v>890</v>
      </c>
      <c r="HE152" s="240"/>
      <c r="HF152" s="240"/>
      <c r="HG152" s="240"/>
      <c r="HH152" s="240"/>
      <c r="HI152" s="240"/>
      <c r="HJ152" s="238"/>
      <c r="HK152" s="240"/>
      <c r="HL152" s="238"/>
      <c r="HM152" s="241"/>
      <c r="HN152" s="235"/>
      <c r="HO152" s="235"/>
      <c r="HP152" s="235"/>
      <c r="HQ152" s="235"/>
    </row>
    <row r="153" spans="2:225" ht="37.5" hidden="1" outlineLevel="2">
      <c r="B153" s="251" t="s">
        <v>1790</v>
      </c>
      <c r="C153" s="252" t="str">
        <f>IF(E141='3. Dropdowns'!C119,"Show",IF(E141="","Show","Hide"))</f>
        <v>Show</v>
      </c>
      <c r="D153" s="236" t="s">
        <v>3244</v>
      </c>
      <c r="E153" s="248"/>
      <c r="F153" s="284" t="str">
        <f>IF(E153='3. Dropdowns'!C115,"","Execution")</f>
        <v>Execution</v>
      </c>
      <c r="G153" s="268"/>
      <c r="H153" s="238"/>
      <c r="I153" s="239" t="s">
        <v>890</v>
      </c>
      <c r="J153" s="240"/>
      <c r="K153" s="240"/>
      <c r="L153" s="240"/>
      <c r="M153" s="240"/>
      <c r="N153" s="240"/>
      <c r="O153" s="240"/>
      <c r="P153" s="240"/>
      <c r="Q153" s="240"/>
      <c r="R153" s="240"/>
      <c r="S153" s="240"/>
      <c r="T153" s="240" t="s">
        <v>890</v>
      </c>
      <c r="U153" s="240"/>
      <c r="V153" s="240"/>
      <c r="W153" s="240"/>
      <c r="X153" s="238"/>
      <c r="Y153" s="240"/>
      <c r="Z153" s="240"/>
      <c r="AA153" s="240"/>
      <c r="AB153" s="240"/>
      <c r="AC153" s="240"/>
      <c r="AD153" s="240"/>
      <c r="AE153" s="240"/>
      <c r="AF153" s="240"/>
      <c r="AG153" s="240"/>
      <c r="AH153" s="238"/>
      <c r="AI153" s="240"/>
      <c r="AJ153" s="240"/>
      <c r="AK153" s="240"/>
      <c r="AL153" s="240"/>
      <c r="AM153" s="238"/>
      <c r="AN153" s="240"/>
      <c r="AO153" s="240"/>
      <c r="AP153" s="240"/>
      <c r="AQ153" s="238"/>
      <c r="AR153" s="240"/>
      <c r="AS153" s="240"/>
      <c r="AT153" s="240"/>
      <c r="AU153" s="240"/>
      <c r="AV153" s="240"/>
      <c r="AW153" s="240"/>
      <c r="AX153" s="240"/>
      <c r="AY153" s="240"/>
      <c r="AZ153" s="238"/>
      <c r="BA153" s="240"/>
      <c r="BB153" s="240"/>
      <c r="BC153" s="240"/>
      <c r="BD153" s="240"/>
      <c r="BE153" s="240"/>
      <c r="BF153" s="240"/>
      <c r="BG153" s="240"/>
      <c r="BH153" s="240"/>
      <c r="BI153" s="240"/>
      <c r="BJ153" s="240"/>
      <c r="BK153" s="240"/>
      <c r="BL153" s="240"/>
      <c r="BM153" s="240"/>
      <c r="BN153" s="240"/>
      <c r="BO153" s="240"/>
      <c r="BP153" s="238"/>
      <c r="BQ153" s="240"/>
      <c r="BR153" s="240"/>
      <c r="BS153" s="240"/>
      <c r="BT153" s="240"/>
      <c r="BU153" s="240"/>
      <c r="BV153" s="240"/>
      <c r="BW153" s="240"/>
      <c r="BX153" s="240"/>
      <c r="BY153" s="240"/>
      <c r="BZ153" s="240"/>
      <c r="CA153" s="240"/>
      <c r="CB153" s="240"/>
      <c r="CC153" s="240"/>
      <c r="CD153" s="240"/>
      <c r="CE153" s="240"/>
      <c r="CF153" s="238"/>
      <c r="CG153" s="240"/>
      <c r="CH153" s="240"/>
      <c r="CI153" s="240"/>
      <c r="CJ153" s="240"/>
      <c r="CK153" s="240"/>
      <c r="CL153" s="240"/>
      <c r="CM153" s="240"/>
      <c r="CN153" s="240"/>
      <c r="CO153" s="240"/>
      <c r="CP153" s="240"/>
      <c r="CQ153" s="240"/>
      <c r="CR153" s="240"/>
      <c r="CS153" s="238"/>
      <c r="CT153" s="240"/>
      <c r="CU153" s="240"/>
      <c r="CV153" s="240"/>
      <c r="CW153" s="240"/>
      <c r="CX153" s="240"/>
      <c r="CY153" s="240"/>
      <c r="CZ153" s="240"/>
      <c r="DA153" s="240"/>
      <c r="DB153" s="240"/>
      <c r="DC153" s="240"/>
      <c r="DD153" s="240"/>
      <c r="DE153" s="240"/>
      <c r="DF153" s="238"/>
      <c r="DG153" s="240"/>
      <c r="DH153" s="240"/>
      <c r="DI153" s="240"/>
      <c r="DJ153" s="240"/>
      <c r="DK153" s="240"/>
      <c r="DL153" s="240"/>
      <c r="DM153" s="240"/>
      <c r="DN153" s="240"/>
      <c r="DO153" s="240"/>
      <c r="DP153" s="240"/>
      <c r="DQ153" s="240"/>
      <c r="DR153" s="238"/>
      <c r="DS153" s="240"/>
      <c r="DT153" s="240"/>
      <c r="DU153" s="240"/>
      <c r="DV153" s="238"/>
      <c r="DW153" s="240"/>
      <c r="DX153" s="240"/>
      <c r="DY153" s="240"/>
      <c r="DZ153" s="240"/>
      <c r="EA153" s="240"/>
      <c r="EB153" s="240"/>
      <c r="EC153" s="240"/>
      <c r="ED153" s="240"/>
      <c r="EE153" s="240"/>
      <c r="EF153" s="238"/>
      <c r="EG153" s="240"/>
      <c r="EH153" s="240"/>
      <c r="EI153" s="240"/>
      <c r="EJ153" s="238"/>
      <c r="EK153" s="240"/>
      <c r="EL153" s="238"/>
      <c r="EM153" s="240"/>
      <c r="EN153" s="240"/>
      <c r="EO153" s="240"/>
      <c r="EP153" s="240"/>
      <c r="EQ153" s="240" t="s">
        <v>890</v>
      </c>
      <c r="ER153" s="240" t="s">
        <v>890</v>
      </c>
      <c r="ES153" s="240"/>
      <c r="ET153" s="240"/>
      <c r="EU153" s="240"/>
      <c r="EV153" s="240"/>
      <c r="EW153" s="240"/>
      <c r="EX153" s="238"/>
      <c r="EY153" s="240"/>
      <c r="EZ153" s="240"/>
      <c r="FA153" s="240"/>
      <c r="FB153" s="240"/>
      <c r="FC153" s="240"/>
      <c r="FD153" s="240"/>
      <c r="FE153" s="240"/>
      <c r="FF153" s="240"/>
      <c r="FG153" s="240"/>
      <c r="FH153" s="240"/>
      <c r="FI153" s="240"/>
      <c r="FJ153" s="240"/>
      <c r="FK153" s="240"/>
      <c r="FL153" s="240"/>
      <c r="FM153" s="240"/>
      <c r="FN153" s="240"/>
      <c r="FO153" s="238"/>
      <c r="FP153" s="240"/>
      <c r="FQ153" s="240"/>
      <c r="FR153" s="240"/>
      <c r="FS153" s="240"/>
      <c r="FT153" s="240"/>
      <c r="FU153" s="240"/>
      <c r="FV153" s="240"/>
      <c r="FW153" s="240"/>
      <c r="FX153" s="240"/>
      <c r="FY153" s="240"/>
      <c r="FZ153" s="238"/>
      <c r="GA153" s="240"/>
      <c r="GB153" s="240"/>
      <c r="GC153" s="238"/>
      <c r="GD153" s="240"/>
      <c r="GE153" s="240"/>
      <c r="GF153" s="240"/>
      <c r="GG153" s="240"/>
      <c r="GH153" s="238"/>
      <c r="GI153" s="240"/>
      <c r="GJ153" s="240"/>
      <c r="GK153" s="240"/>
      <c r="GL153" s="240"/>
      <c r="GM153" s="238"/>
      <c r="GN153" s="240"/>
      <c r="GO153" s="240"/>
      <c r="GP153" s="240"/>
      <c r="GQ153" s="240"/>
      <c r="GR153" s="240"/>
      <c r="GS153" s="240"/>
      <c r="GT153" s="240"/>
      <c r="GU153" s="240"/>
      <c r="GV153" s="240"/>
      <c r="GW153" s="240"/>
      <c r="GX153" s="240"/>
      <c r="GY153" s="240"/>
      <c r="GZ153" s="240"/>
      <c r="HA153" s="240"/>
      <c r="HB153" s="240"/>
      <c r="HC153" s="240"/>
      <c r="HD153" s="238"/>
      <c r="HE153" s="240"/>
      <c r="HF153" s="240"/>
      <c r="HG153" s="240"/>
      <c r="HH153" s="240"/>
      <c r="HI153" s="240"/>
      <c r="HJ153" s="238"/>
      <c r="HK153" s="240"/>
      <c r="HL153" s="238"/>
      <c r="HM153" s="241"/>
      <c r="HN153" s="235"/>
      <c r="HO153" s="235"/>
      <c r="HP153" s="235"/>
      <c r="HQ153" s="235"/>
    </row>
    <row r="154" spans="2:225" ht="37.5" hidden="1" outlineLevel="2">
      <c r="B154" s="251" t="s">
        <v>1790</v>
      </c>
      <c r="C154" s="252" t="str">
        <f>IF(E141='3. Dropdowns'!C119,"Show",IF(E141="","Show","Hide"))</f>
        <v>Show</v>
      </c>
      <c r="D154" s="236" t="s">
        <v>3245</v>
      </c>
      <c r="E154" s="248"/>
      <c r="F154" s="284" t="str">
        <f>IF(E154='3. Dropdowns'!C115,"","Execution")</f>
        <v>Execution</v>
      </c>
      <c r="G154" s="268"/>
      <c r="H154" s="238"/>
      <c r="I154" s="239" t="s">
        <v>890</v>
      </c>
      <c r="J154" s="240"/>
      <c r="K154" s="240"/>
      <c r="L154" s="240"/>
      <c r="M154" s="240"/>
      <c r="N154" s="240"/>
      <c r="O154" s="240"/>
      <c r="P154" s="240"/>
      <c r="Q154" s="240"/>
      <c r="R154" s="240"/>
      <c r="S154" s="240"/>
      <c r="T154" s="240" t="s">
        <v>890</v>
      </c>
      <c r="U154" s="240"/>
      <c r="V154" s="240"/>
      <c r="W154" s="240"/>
      <c r="X154" s="238"/>
      <c r="Y154" s="240"/>
      <c r="Z154" s="240"/>
      <c r="AA154" s="240"/>
      <c r="AB154" s="240"/>
      <c r="AC154" s="240"/>
      <c r="AD154" s="240"/>
      <c r="AE154" s="240"/>
      <c r="AF154" s="240"/>
      <c r="AG154" s="240"/>
      <c r="AH154" s="238"/>
      <c r="AI154" s="240"/>
      <c r="AJ154" s="240"/>
      <c r="AK154" s="240"/>
      <c r="AL154" s="240"/>
      <c r="AM154" s="238"/>
      <c r="AN154" s="240"/>
      <c r="AO154" s="240"/>
      <c r="AP154" s="240"/>
      <c r="AQ154" s="238"/>
      <c r="AR154" s="240"/>
      <c r="AS154" s="240"/>
      <c r="AT154" s="240"/>
      <c r="AU154" s="240"/>
      <c r="AV154" s="240"/>
      <c r="AW154" s="240"/>
      <c r="AX154" s="240"/>
      <c r="AY154" s="240"/>
      <c r="AZ154" s="238"/>
      <c r="BA154" s="240"/>
      <c r="BB154" s="240"/>
      <c r="BC154" s="240"/>
      <c r="BD154" s="240"/>
      <c r="BE154" s="240"/>
      <c r="BF154" s="240"/>
      <c r="BG154" s="240"/>
      <c r="BH154" s="240"/>
      <c r="BI154" s="240"/>
      <c r="BJ154" s="240"/>
      <c r="BK154" s="240"/>
      <c r="BL154" s="240"/>
      <c r="BM154" s="240"/>
      <c r="BN154" s="240"/>
      <c r="BO154" s="240"/>
      <c r="BP154" s="238"/>
      <c r="BQ154" s="240"/>
      <c r="BR154" s="240"/>
      <c r="BS154" s="240"/>
      <c r="BT154" s="240"/>
      <c r="BU154" s="240"/>
      <c r="BV154" s="240"/>
      <c r="BW154" s="240"/>
      <c r="BX154" s="240"/>
      <c r="BY154" s="240"/>
      <c r="BZ154" s="240"/>
      <c r="CA154" s="240"/>
      <c r="CB154" s="240"/>
      <c r="CC154" s="240"/>
      <c r="CD154" s="240"/>
      <c r="CE154" s="240"/>
      <c r="CF154" s="238"/>
      <c r="CG154" s="240"/>
      <c r="CH154" s="240"/>
      <c r="CI154" s="240"/>
      <c r="CJ154" s="240"/>
      <c r="CK154" s="240"/>
      <c r="CL154" s="240"/>
      <c r="CM154" s="240"/>
      <c r="CN154" s="240"/>
      <c r="CO154" s="240"/>
      <c r="CP154" s="240"/>
      <c r="CQ154" s="240"/>
      <c r="CR154" s="240"/>
      <c r="CS154" s="238"/>
      <c r="CT154" s="240"/>
      <c r="CU154" s="240"/>
      <c r="CV154" s="240"/>
      <c r="CW154" s="240"/>
      <c r="CX154" s="240"/>
      <c r="CY154" s="240"/>
      <c r="CZ154" s="240"/>
      <c r="DA154" s="240"/>
      <c r="DB154" s="240"/>
      <c r="DC154" s="240"/>
      <c r="DD154" s="240"/>
      <c r="DE154" s="240"/>
      <c r="DF154" s="238"/>
      <c r="DG154" s="240"/>
      <c r="DH154" s="240"/>
      <c r="DI154" s="240"/>
      <c r="DJ154" s="240"/>
      <c r="DK154" s="240"/>
      <c r="DL154" s="240"/>
      <c r="DM154" s="240"/>
      <c r="DN154" s="240"/>
      <c r="DO154" s="240"/>
      <c r="DP154" s="240"/>
      <c r="DQ154" s="240"/>
      <c r="DR154" s="238"/>
      <c r="DS154" s="240"/>
      <c r="DT154" s="240"/>
      <c r="DU154" s="240"/>
      <c r="DV154" s="238"/>
      <c r="DW154" s="240"/>
      <c r="DX154" s="240"/>
      <c r="DY154" s="240"/>
      <c r="DZ154" s="240"/>
      <c r="EA154" s="240"/>
      <c r="EB154" s="240"/>
      <c r="EC154" s="240"/>
      <c r="ED154" s="240"/>
      <c r="EE154" s="240"/>
      <c r="EF154" s="238"/>
      <c r="EG154" s="240"/>
      <c r="EH154" s="240"/>
      <c r="EI154" s="240"/>
      <c r="EJ154" s="238"/>
      <c r="EK154" s="240"/>
      <c r="EL154" s="238" t="s">
        <v>890</v>
      </c>
      <c r="EM154" s="240"/>
      <c r="EN154" s="240"/>
      <c r="EO154" s="240"/>
      <c r="EP154" s="240"/>
      <c r="EQ154" s="240"/>
      <c r="ER154" s="240"/>
      <c r="ES154" s="240"/>
      <c r="ET154" s="240"/>
      <c r="EU154" s="240"/>
      <c r="EV154" s="240"/>
      <c r="EW154" s="240"/>
      <c r="EX154" s="238"/>
      <c r="EY154" s="240"/>
      <c r="EZ154" s="240"/>
      <c r="FA154" s="240"/>
      <c r="FB154" s="240"/>
      <c r="FC154" s="240"/>
      <c r="FD154" s="240"/>
      <c r="FE154" s="240"/>
      <c r="FF154" s="240"/>
      <c r="FG154" s="240"/>
      <c r="FH154" s="240"/>
      <c r="FI154" s="240"/>
      <c r="FJ154" s="240"/>
      <c r="FK154" s="240"/>
      <c r="FL154" s="240"/>
      <c r="FM154" s="240"/>
      <c r="FN154" s="240"/>
      <c r="FO154" s="238" t="s">
        <v>890</v>
      </c>
      <c r="FP154" s="240"/>
      <c r="FQ154" s="240"/>
      <c r="FR154" s="240"/>
      <c r="FS154" s="240"/>
      <c r="FT154" s="240"/>
      <c r="FU154" s="240"/>
      <c r="FV154" s="240"/>
      <c r="FW154" s="240"/>
      <c r="FX154" s="240"/>
      <c r="FY154" s="240"/>
      <c r="FZ154" s="238"/>
      <c r="GA154" s="240"/>
      <c r="GB154" s="240"/>
      <c r="GC154" s="238"/>
      <c r="GD154" s="240"/>
      <c r="GE154" s="240"/>
      <c r="GF154" s="240"/>
      <c r="GG154" s="240"/>
      <c r="GH154" s="238"/>
      <c r="GI154" s="240"/>
      <c r="GJ154" s="240"/>
      <c r="GK154" s="240"/>
      <c r="GL154" s="240"/>
      <c r="GM154" s="238"/>
      <c r="GN154" s="240"/>
      <c r="GO154" s="240"/>
      <c r="GP154" s="240"/>
      <c r="GQ154" s="240"/>
      <c r="GR154" s="240"/>
      <c r="GS154" s="240"/>
      <c r="GT154" s="240"/>
      <c r="GU154" s="240"/>
      <c r="GV154" s="240"/>
      <c r="GW154" s="240"/>
      <c r="GX154" s="240"/>
      <c r="GY154" s="240"/>
      <c r="GZ154" s="240"/>
      <c r="HA154" s="240"/>
      <c r="HB154" s="240"/>
      <c r="HC154" s="240"/>
      <c r="HD154" s="238" t="s">
        <v>890</v>
      </c>
      <c r="HE154" s="240"/>
      <c r="HF154" s="240"/>
      <c r="HG154" s="240"/>
      <c r="HH154" s="240"/>
      <c r="HI154" s="240"/>
      <c r="HJ154" s="238"/>
      <c r="HK154" s="240"/>
      <c r="HL154" s="238"/>
      <c r="HM154" s="241"/>
      <c r="HN154" s="235"/>
      <c r="HO154" s="235"/>
      <c r="HP154" s="235"/>
      <c r="HQ154" s="235"/>
    </row>
    <row r="155" spans="2:225" ht="37.5" hidden="1" outlineLevel="2">
      <c r="B155" s="251" t="s">
        <v>1790</v>
      </c>
      <c r="C155" s="252" t="str">
        <f>IF(E141='3. Dropdowns'!C119,"Show",IF(E141="","Show","Hide"))</f>
        <v>Show</v>
      </c>
      <c r="D155" s="236" t="s">
        <v>3246</v>
      </c>
      <c r="E155" s="248"/>
      <c r="F155" s="284" t="str">
        <f>IF(E155='3. Dropdowns'!C115,"","Submittals, Execution")</f>
        <v>Submittals, Execution</v>
      </c>
      <c r="G155" s="268"/>
      <c r="H155" s="238"/>
      <c r="I155" s="239" t="s">
        <v>890</v>
      </c>
      <c r="J155" s="240"/>
      <c r="K155" s="240"/>
      <c r="L155" s="240"/>
      <c r="M155" s="240"/>
      <c r="N155" s="240"/>
      <c r="O155" s="240"/>
      <c r="P155" s="240"/>
      <c r="Q155" s="240"/>
      <c r="R155" s="240"/>
      <c r="S155" s="240"/>
      <c r="T155" s="240" t="s">
        <v>890</v>
      </c>
      <c r="U155" s="240"/>
      <c r="V155" s="240"/>
      <c r="W155" s="240"/>
      <c r="X155" s="238"/>
      <c r="Y155" s="240"/>
      <c r="Z155" s="240"/>
      <c r="AA155" s="240"/>
      <c r="AB155" s="240"/>
      <c r="AC155" s="240"/>
      <c r="AD155" s="240"/>
      <c r="AE155" s="240"/>
      <c r="AF155" s="240"/>
      <c r="AG155" s="240"/>
      <c r="AH155" s="238"/>
      <c r="AI155" s="240"/>
      <c r="AJ155" s="240"/>
      <c r="AK155" s="240"/>
      <c r="AL155" s="240"/>
      <c r="AM155" s="238"/>
      <c r="AN155" s="240"/>
      <c r="AO155" s="240"/>
      <c r="AP155" s="240"/>
      <c r="AQ155" s="238"/>
      <c r="AR155" s="240"/>
      <c r="AS155" s="240"/>
      <c r="AT155" s="240"/>
      <c r="AU155" s="240"/>
      <c r="AV155" s="240"/>
      <c r="AW155" s="240"/>
      <c r="AX155" s="240"/>
      <c r="AY155" s="240"/>
      <c r="AZ155" s="238"/>
      <c r="BA155" s="240"/>
      <c r="BB155" s="240"/>
      <c r="BC155" s="240"/>
      <c r="BD155" s="240"/>
      <c r="BE155" s="240"/>
      <c r="BF155" s="240"/>
      <c r="BG155" s="240"/>
      <c r="BH155" s="240"/>
      <c r="BI155" s="240"/>
      <c r="BJ155" s="240"/>
      <c r="BK155" s="240"/>
      <c r="BL155" s="240"/>
      <c r="BM155" s="240"/>
      <c r="BN155" s="240"/>
      <c r="BO155" s="240"/>
      <c r="BP155" s="238"/>
      <c r="BQ155" s="240"/>
      <c r="BR155" s="240"/>
      <c r="BS155" s="240"/>
      <c r="BT155" s="240"/>
      <c r="BU155" s="240"/>
      <c r="BV155" s="240"/>
      <c r="BW155" s="240"/>
      <c r="BX155" s="240"/>
      <c r="BY155" s="240"/>
      <c r="BZ155" s="240"/>
      <c r="CA155" s="240"/>
      <c r="CB155" s="240"/>
      <c r="CC155" s="240"/>
      <c r="CD155" s="240"/>
      <c r="CE155" s="240"/>
      <c r="CF155" s="238"/>
      <c r="CG155" s="240"/>
      <c r="CH155" s="240"/>
      <c r="CI155" s="240"/>
      <c r="CJ155" s="240"/>
      <c r="CK155" s="240"/>
      <c r="CL155" s="240"/>
      <c r="CM155" s="240"/>
      <c r="CN155" s="240"/>
      <c r="CO155" s="240"/>
      <c r="CP155" s="240"/>
      <c r="CQ155" s="240"/>
      <c r="CR155" s="240"/>
      <c r="CS155" s="238"/>
      <c r="CT155" s="240"/>
      <c r="CU155" s="240"/>
      <c r="CV155" s="240"/>
      <c r="CW155" s="240"/>
      <c r="CX155" s="240"/>
      <c r="CY155" s="240"/>
      <c r="CZ155" s="240"/>
      <c r="DA155" s="240"/>
      <c r="DB155" s="240"/>
      <c r="DC155" s="240"/>
      <c r="DD155" s="240"/>
      <c r="DE155" s="240"/>
      <c r="DF155" s="238"/>
      <c r="DG155" s="240"/>
      <c r="DH155" s="240"/>
      <c r="DI155" s="240"/>
      <c r="DJ155" s="240"/>
      <c r="DK155" s="240"/>
      <c r="DL155" s="240"/>
      <c r="DM155" s="240"/>
      <c r="DN155" s="240"/>
      <c r="DO155" s="240"/>
      <c r="DP155" s="240"/>
      <c r="DQ155" s="240"/>
      <c r="DR155" s="238"/>
      <c r="DS155" s="240"/>
      <c r="DT155" s="240"/>
      <c r="DU155" s="240"/>
      <c r="DV155" s="238"/>
      <c r="DW155" s="240"/>
      <c r="DX155" s="240"/>
      <c r="DY155" s="240"/>
      <c r="DZ155" s="240"/>
      <c r="EA155" s="240"/>
      <c r="EB155" s="240"/>
      <c r="EC155" s="240"/>
      <c r="ED155" s="240"/>
      <c r="EE155" s="240"/>
      <c r="EF155" s="238"/>
      <c r="EG155" s="240"/>
      <c r="EH155" s="240"/>
      <c r="EI155" s="240"/>
      <c r="EJ155" s="238"/>
      <c r="EK155" s="240"/>
      <c r="EL155" s="238"/>
      <c r="EM155" s="240"/>
      <c r="EN155" s="240"/>
      <c r="EO155" s="240"/>
      <c r="EP155" s="240"/>
      <c r="EQ155" s="240"/>
      <c r="ER155" s="240"/>
      <c r="ES155" s="240"/>
      <c r="ET155" s="240"/>
      <c r="EU155" s="240"/>
      <c r="EV155" s="240"/>
      <c r="EW155" s="240"/>
      <c r="EX155" s="238" t="s">
        <v>890</v>
      </c>
      <c r="EY155" s="240"/>
      <c r="EZ155" s="240"/>
      <c r="FA155" s="240"/>
      <c r="FB155" s="240"/>
      <c r="FC155" s="240"/>
      <c r="FD155" s="240"/>
      <c r="FE155" s="240"/>
      <c r="FF155" s="240"/>
      <c r="FG155" s="240"/>
      <c r="FH155" s="240"/>
      <c r="FI155" s="240"/>
      <c r="FJ155" s="240"/>
      <c r="FK155" s="240"/>
      <c r="FL155" s="240"/>
      <c r="FM155" s="240"/>
      <c r="FN155" s="240"/>
      <c r="FO155" s="238"/>
      <c r="FP155" s="240"/>
      <c r="FQ155" s="240"/>
      <c r="FR155" s="240"/>
      <c r="FS155" s="240"/>
      <c r="FT155" s="240"/>
      <c r="FU155" s="240" t="s">
        <v>890</v>
      </c>
      <c r="FV155" s="240"/>
      <c r="FW155" s="240"/>
      <c r="FX155" s="240"/>
      <c r="FY155" s="240"/>
      <c r="FZ155" s="238"/>
      <c r="GA155" s="240"/>
      <c r="GB155" s="240"/>
      <c r="GC155" s="238"/>
      <c r="GD155" s="240"/>
      <c r="GE155" s="240"/>
      <c r="GF155" s="240"/>
      <c r="GG155" s="240"/>
      <c r="GH155" s="238"/>
      <c r="GI155" s="240"/>
      <c r="GJ155" s="240"/>
      <c r="GK155" s="240"/>
      <c r="GL155" s="240"/>
      <c r="GM155" s="238"/>
      <c r="GN155" s="240"/>
      <c r="GO155" s="240"/>
      <c r="GP155" s="240"/>
      <c r="GQ155" s="240"/>
      <c r="GR155" s="240"/>
      <c r="GS155" s="240"/>
      <c r="GT155" s="240"/>
      <c r="GU155" s="240"/>
      <c r="GV155" s="240"/>
      <c r="GW155" s="240"/>
      <c r="GX155" s="240"/>
      <c r="GY155" s="240"/>
      <c r="GZ155" s="240"/>
      <c r="HA155" s="240"/>
      <c r="HB155" s="240"/>
      <c r="HC155" s="240"/>
      <c r="HD155" s="238"/>
      <c r="HE155" s="240"/>
      <c r="HF155" s="240"/>
      <c r="HG155" s="240"/>
      <c r="HH155" s="240"/>
      <c r="HI155" s="240"/>
      <c r="HJ155" s="238"/>
      <c r="HK155" s="240"/>
      <c r="HL155" s="238"/>
      <c r="HM155" s="241"/>
      <c r="HN155" s="235"/>
      <c r="HO155" s="235"/>
      <c r="HP155" s="235"/>
      <c r="HQ155" s="235"/>
    </row>
    <row r="156" spans="2:225" ht="37.5" hidden="1" outlineLevel="2">
      <c r="B156" s="251" t="s">
        <v>1790</v>
      </c>
      <c r="C156" s="252" t="str">
        <f>IF(E141='3. Dropdowns'!C119,"Show",IF(E141="","Show","Hide"))</f>
        <v>Show</v>
      </c>
      <c r="D156" s="236" t="s">
        <v>3247</v>
      </c>
      <c r="E156" s="248"/>
      <c r="F156" s="284" t="str">
        <f>IF(E156='3. Dropdowns'!C115,"","Submittals, Execution")</f>
        <v>Submittals, Execution</v>
      </c>
      <c r="G156" s="268"/>
      <c r="H156" s="238"/>
      <c r="I156" s="239" t="s">
        <v>890</v>
      </c>
      <c r="J156" s="240"/>
      <c r="K156" s="240"/>
      <c r="L156" s="240"/>
      <c r="M156" s="240"/>
      <c r="N156" s="240"/>
      <c r="O156" s="240"/>
      <c r="P156" s="240"/>
      <c r="Q156" s="240"/>
      <c r="R156" s="240"/>
      <c r="S156" s="240"/>
      <c r="T156" s="240" t="s">
        <v>890</v>
      </c>
      <c r="U156" s="240"/>
      <c r="V156" s="240"/>
      <c r="W156" s="240"/>
      <c r="X156" s="238"/>
      <c r="Y156" s="240"/>
      <c r="Z156" s="240"/>
      <c r="AA156" s="240"/>
      <c r="AB156" s="240"/>
      <c r="AC156" s="240"/>
      <c r="AD156" s="240"/>
      <c r="AE156" s="240"/>
      <c r="AF156" s="240"/>
      <c r="AG156" s="240"/>
      <c r="AH156" s="238"/>
      <c r="AI156" s="240"/>
      <c r="AJ156" s="240"/>
      <c r="AK156" s="240"/>
      <c r="AL156" s="240"/>
      <c r="AM156" s="238"/>
      <c r="AN156" s="240"/>
      <c r="AO156" s="240"/>
      <c r="AP156" s="240"/>
      <c r="AQ156" s="238"/>
      <c r="AR156" s="240"/>
      <c r="AS156" s="240"/>
      <c r="AT156" s="240"/>
      <c r="AU156" s="240"/>
      <c r="AV156" s="240"/>
      <c r="AW156" s="240"/>
      <c r="AX156" s="240"/>
      <c r="AY156" s="240"/>
      <c r="AZ156" s="238"/>
      <c r="BA156" s="240"/>
      <c r="BB156" s="240"/>
      <c r="BC156" s="240"/>
      <c r="BD156" s="240"/>
      <c r="BE156" s="240"/>
      <c r="BF156" s="240"/>
      <c r="BG156" s="240"/>
      <c r="BH156" s="240"/>
      <c r="BI156" s="240"/>
      <c r="BJ156" s="240"/>
      <c r="BK156" s="240"/>
      <c r="BL156" s="240"/>
      <c r="BM156" s="240"/>
      <c r="BN156" s="240"/>
      <c r="BO156" s="240"/>
      <c r="BP156" s="238"/>
      <c r="BQ156" s="240"/>
      <c r="BR156" s="240"/>
      <c r="BS156" s="240"/>
      <c r="BT156" s="240"/>
      <c r="BU156" s="240"/>
      <c r="BV156" s="240"/>
      <c r="BW156" s="240"/>
      <c r="BX156" s="240"/>
      <c r="BY156" s="240"/>
      <c r="BZ156" s="240"/>
      <c r="CA156" s="240"/>
      <c r="CB156" s="240"/>
      <c r="CC156" s="240"/>
      <c r="CD156" s="240"/>
      <c r="CE156" s="240"/>
      <c r="CF156" s="238"/>
      <c r="CG156" s="240"/>
      <c r="CH156" s="240"/>
      <c r="CI156" s="240"/>
      <c r="CJ156" s="240"/>
      <c r="CK156" s="240"/>
      <c r="CL156" s="240"/>
      <c r="CM156" s="240"/>
      <c r="CN156" s="240"/>
      <c r="CO156" s="240"/>
      <c r="CP156" s="240"/>
      <c r="CQ156" s="240"/>
      <c r="CR156" s="240"/>
      <c r="CS156" s="238"/>
      <c r="CT156" s="240"/>
      <c r="CU156" s="240"/>
      <c r="CV156" s="240"/>
      <c r="CW156" s="240"/>
      <c r="CX156" s="240"/>
      <c r="CY156" s="240"/>
      <c r="CZ156" s="240"/>
      <c r="DA156" s="240"/>
      <c r="DB156" s="240"/>
      <c r="DC156" s="240"/>
      <c r="DD156" s="240"/>
      <c r="DE156" s="240"/>
      <c r="DF156" s="238"/>
      <c r="DG156" s="240"/>
      <c r="DH156" s="240"/>
      <c r="DI156" s="240"/>
      <c r="DJ156" s="240"/>
      <c r="DK156" s="240"/>
      <c r="DL156" s="240"/>
      <c r="DM156" s="240"/>
      <c r="DN156" s="240"/>
      <c r="DO156" s="240"/>
      <c r="DP156" s="240"/>
      <c r="DQ156" s="240"/>
      <c r="DR156" s="238"/>
      <c r="DS156" s="240"/>
      <c r="DT156" s="240"/>
      <c r="DU156" s="240"/>
      <c r="DV156" s="238"/>
      <c r="DW156" s="240"/>
      <c r="DX156" s="240"/>
      <c r="DY156" s="240"/>
      <c r="DZ156" s="240"/>
      <c r="EA156" s="240"/>
      <c r="EB156" s="240"/>
      <c r="EC156" s="240"/>
      <c r="ED156" s="240"/>
      <c r="EE156" s="240"/>
      <c r="EF156" s="238"/>
      <c r="EG156" s="240"/>
      <c r="EH156" s="240"/>
      <c r="EI156" s="240"/>
      <c r="EJ156" s="238"/>
      <c r="EK156" s="240"/>
      <c r="EL156" s="238" t="s">
        <v>890</v>
      </c>
      <c r="EM156" s="240"/>
      <c r="EN156" s="240"/>
      <c r="EO156" s="240"/>
      <c r="EP156" s="240"/>
      <c r="EQ156" s="240"/>
      <c r="ER156" s="240"/>
      <c r="ES156" s="240"/>
      <c r="ET156" s="240"/>
      <c r="EU156" s="240"/>
      <c r="EV156" s="240"/>
      <c r="EW156" s="240"/>
      <c r="EX156" s="238" t="s">
        <v>890</v>
      </c>
      <c r="EY156" s="240"/>
      <c r="EZ156" s="240"/>
      <c r="FA156" s="240"/>
      <c r="FB156" s="240"/>
      <c r="FC156" s="240"/>
      <c r="FD156" s="240"/>
      <c r="FE156" s="240"/>
      <c r="FF156" s="240"/>
      <c r="FG156" s="240"/>
      <c r="FH156" s="240"/>
      <c r="FI156" s="240"/>
      <c r="FJ156" s="240"/>
      <c r="FK156" s="240"/>
      <c r="FL156" s="240"/>
      <c r="FM156" s="240"/>
      <c r="FN156" s="240"/>
      <c r="FO156" s="238" t="s">
        <v>890</v>
      </c>
      <c r="FP156" s="240"/>
      <c r="FQ156" s="240"/>
      <c r="FR156" s="240"/>
      <c r="FS156" s="240"/>
      <c r="FT156" s="240"/>
      <c r="FU156" s="240"/>
      <c r="FV156" s="240"/>
      <c r="FW156" s="240"/>
      <c r="FX156" s="240"/>
      <c r="FY156" s="240"/>
      <c r="FZ156" s="238"/>
      <c r="GA156" s="240"/>
      <c r="GB156" s="240"/>
      <c r="GC156" s="238"/>
      <c r="GD156" s="240"/>
      <c r="GE156" s="240"/>
      <c r="GF156" s="240"/>
      <c r="GG156" s="240"/>
      <c r="GH156" s="238"/>
      <c r="GI156" s="240"/>
      <c r="GJ156" s="240"/>
      <c r="GK156" s="240"/>
      <c r="GL156" s="240"/>
      <c r="GM156" s="238"/>
      <c r="GN156" s="240"/>
      <c r="GO156" s="240"/>
      <c r="GP156" s="240"/>
      <c r="GQ156" s="240"/>
      <c r="GR156" s="240"/>
      <c r="GS156" s="240"/>
      <c r="GT156" s="240"/>
      <c r="GU156" s="240"/>
      <c r="GV156" s="240"/>
      <c r="GW156" s="240"/>
      <c r="GX156" s="240"/>
      <c r="GY156" s="240"/>
      <c r="GZ156" s="240"/>
      <c r="HA156" s="240"/>
      <c r="HB156" s="240"/>
      <c r="HC156" s="240"/>
      <c r="HD156" s="238"/>
      <c r="HE156" s="240"/>
      <c r="HF156" s="240"/>
      <c r="HG156" s="240"/>
      <c r="HH156" s="240"/>
      <c r="HI156" s="240"/>
      <c r="HJ156" s="238"/>
      <c r="HK156" s="240"/>
      <c r="HL156" s="238"/>
      <c r="HM156" s="241"/>
      <c r="HN156" s="235"/>
      <c r="HO156" s="235"/>
      <c r="HP156" s="235"/>
      <c r="HQ156" s="235"/>
    </row>
    <row r="157" spans="2:225" ht="37.5" hidden="1" outlineLevel="1" collapsed="1">
      <c r="B157" s="251" t="s">
        <v>1790</v>
      </c>
      <c r="C157" s="252" t="str">
        <f>IF(E141='3. Dropdowns'!C119,"Show",IF(E141="","Show","Hide"))</f>
        <v>Show</v>
      </c>
      <c r="D157" s="236" t="s">
        <v>3248</v>
      </c>
      <c r="E157" s="284"/>
      <c r="F157" s="284" t="s">
        <v>539</v>
      </c>
      <c r="G157" s="268"/>
      <c r="H157" s="238"/>
      <c r="I157" s="239" t="s">
        <v>890</v>
      </c>
      <c r="J157" s="240"/>
      <c r="K157" s="240"/>
      <c r="L157" s="240"/>
      <c r="M157" s="240"/>
      <c r="N157" s="240"/>
      <c r="O157" s="240"/>
      <c r="P157" s="240"/>
      <c r="Q157" s="240"/>
      <c r="R157" s="240"/>
      <c r="S157" s="240"/>
      <c r="T157" s="240" t="s">
        <v>890</v>
      </c>
      <c r="U157" s="240"/>
      <c r="V157" s="240"/>
      <c r="W157" s="240"/>
      <c r="X157" s="238"/>
      <c r="Y157" s="240"/>
      <c r="Z157" s="240"/>
      <c r="AA157" s="240"/>
      <c r="AB157" s="240"/>
      <c r="AC157" s="240"/>
      <c r="AD157" s="240"/>
      <c r="AE157" s="240"/>
      <c r="AF157" s="240"/>
      <c r="AG157" s="240"/>
      <c r="AH157" s="238"/>
      <c r="AI157" s="240"/>
      <c r="AJ157" s="240"/>
      <c r="AK157" s="240"/>
      <c r="AL157" s="240"/>
      <c r="AM157" s="238"/>
      <c r="AN157" s="240"/>
      <c r="AO157" s="240"/>
      <c r="AP157" s="240"/>
      <c r="AQ157" s="238"/>
      <c r="AR157" s="240"/>
      <c r="AS157" s="240"/>
      <c r="AT157" s="240"/>
      <c r="AU157" s="240"/>
      <c r="AV157" s="240"/>
      <c r="AW157" s="240"/>
      <c r="AX157" s="240"/>
      <c r="AY157" s="240"/>
      <c r="AZ157" s="238"/>
      <c r="BA157" s="240"/>
      <c r="BB157" s="240"/>
      <c r="BC157" s="240"/>
      <c r="BD157" s="240"/>
      <c r="BE157" s="240" t="s">
        <v>890</v>
      </c>
      <c r="BF157" s="240"/>
      <c r="BG157" s="240"/>
      <c r="BH157" s="240"/>
      <c r="BI157" s="240"/>
      <c r="BJ157" s="240"/>
      <c r="BK157" s="240"/>
      <c r="BL157" s="240"/>
      <c r="BM157" s="240"/>
      <c r="BN157" s="240"/>
      <c r="BO157" s="240"/>
      <c r="BP157" s="238"/>
      <c r="BQ157" s="240"/>
      <c r="BR157" s="240"/>
      <c r="BS157" s="240"/>
      <c r="BT157" s="240"/>
      <c r="BU157" s="240"/>
      <c r="BV157" s="240"/>
      <c r="BW157" s="240"/>
      <c r="BX157" s="240"/>
      <c r="BY157" s="240"/>
      <c r="BZ157" s="240"/>
      <c r="CA157" s="240"/>
      <c r="CB157" s="240"/>
      <c r="CC157" s="240"/>
      <c r="CD157" s="240"/>
      <c r="CE157" s="240"/>
      <c r="CF157" s="238"/>
      <c r="CG157" s="240"/>
      <c r="CH157" s="240"/>
      <c r="CI157" s="240"/>
      <c r="CJ157" s="240"/>
      <c r="CK157" s="240"/>
      <c r="CL157" s="240"/>
      <c r="CM157" s="240"/>
      <c r="CN157" s="240"/>
      <c r="CO157" s="240"/>
      <c r="CP157" s="240"/>
      <c r="CQ157" s="240"/>
      <c r="CR157" s="240"/>
      <c r="CS157" s="238"/>
      <c r="CT157" s="240"/>
      <c r="CU157" s="240"/>
      <c r="CV157" s="240"/>
      <c r="CW157" s="240"/>
      <c r="CX157" s="240"/>
      <c r="CY157" s="240"/>
      <c r="CZ157" s="240"/>
      <c r="DA157" s="240"/>
      <c r="DB157" s="240"/>
      <c r="DC157" s="240"/>
      <c r="DD157" s="240"/>
      <c r="DE157" s="240"/>
      <c r="DF157" s="238"/>
      <c r="DG157" s="240"/>
      <c r="DH157" s="240"/>
      <c r="DI157" s="240"/>
      <c r="DJ157" s="240"/>
      <c r="DK157" s="240"/>
      <c r="DL157" s="240"/>
      <c r="DM157" s="240"/>
      <c r="DN157" s="240"/>
      <c r="DO157" s="240"/>
      <c r="DP157" s="240"/>
      <c r="DQ157" s="240"/>
      <c r="DR157" s="238"/>
      <c r="DS157" s="240"/>
      <c r="DT157" s="240"/>
      <c r="DU157" s="240"/>
      <c r="DV157" s="238"/>
      <c r="DW157" s="240"/>
      <c r="DX157" s="240"/>
      <c r="DY157" s="240"/>
      <c r="DZ157" s="240"/>
      <c r="EA157" s="240"/>
      <c r="EB157" s="240"/>
      <c r="EC157" s="240"/>
      <c r="ED157" s="240"/>
      <c r="EE157" s="240"/>
      <c r="EF157" s="238"/>
      <c r="EG157" s="240"/>
      <c r="EH157" s="240"/>
      <c r="EI157" s="240"/>
      <c r="EJ157" s="238"/>
      <c r="EK157" s="240"/>
      <c r="EL157" s="238"/>
      <c r="EM157" s="240"/>
      <c r="EN157" s="240"/>
      <c r="EO157" s="240"/>
      <c r="EP157" s="240"/>
      <c r="EQ157" s="240"/>
      <c r="ER157" s="240"/>
      <c r="ES157" s="240"/>
      <c r="ET157" s="240"/>
      <c r="EU157" s="240"/>
      <c r="EV157" s="240"/>
      <c r="EW157" s="240"/>
      <c r="EX157" s="238"/>
      <c r="EY157" s="240"/>
      <c r="EZ157" s="240"/>
      <c r="FA157" s="240"/>
      <c r="FB157" s="240"/>
      <c r="FC157" s="240"/>
      <c r="FD157" s="240"/>
      <c r="FE157" s="240"/>
      <c r="FF157" s="240"/>
      <c r="FG157" s="240"/>
      <c r="FH157" s="240"/>
      <c r="FI157" s="240"/>
      <c r="FJ157" s="240"/>
      <c r="FK157" s="240"/>
      <c r="FL157" s="240"/>
      <c r="FM157" s="240"/>
      <c r="FN157" s="240"/>
      <c r="FO157" s="238"/>
      <c r="FP157" s="240"/>
      <c r="FQ157" s="240"/>
      <c r="FR157" s="240"/>
      <c r="FS157" s="240"/>
      <c r="FT157" s="240"/>
      <c r="FU157" s="240"/>
      <c r="FV157" s="240"/>
      <c r="FW157" s="240"/>
      <c r="FX157" s="240"/>
      <c r="FY157" s="240"/>
      <c r="FZ157" s="238"/>
      <c r="GA157" s="240"/>
      <c r="GB157" s="240"/>
      <c r="GC157" s="238"/>
      <c r="GD157" s="240"/>
      <c r="GE157" s="240"/>
      <c r="GF157" s="240"/>
      <c r="GG157" s="240"/>
      <c r="GH157" s="238"/>
      <c r="GI157" s="240"/>
      <c r="GJ157" s="240"/>
      <c r="GK157" s="240"/>
      <c r="GL157" s="240"/>
      <c r="GM157" s="238"/>
      <c r="GN157" s="240"/>
      <c r="GO157" s="240"/>
      <c r="GP157" s="240"/>
      <c r="GQ157" s="240"/>
      <c r="GR157" s="240"/>
      <c r="GS157" s="240"/>
      <c r="GT157" s="240"/>
      <c r="GU157" s="240"/>
      <c r="GV157" s="240"/>
      <c r="GW157" s="240"/>
      <c r="GX157" s="240"/>
      <c r="GY157" s="240"/>
      <c r="GZ157" s="240"/>
      <c r="HA157" s="240"/>
      <c r="HB157" s="240"/>
      <c r="HC157" s="240"/>
      <c r="HD157" s="238"/>
      <c r="HE157" s="240"/>
      <c r="HF157" s="240"/>
      <c r="HG157" s="240"/>
      <c r="HH157" s="240"/>
      <c r="HI157" s="240"/>
      <c r="HJ157" s="238"/>
      <c r="HK157" s="240"/>
      <c r="HL157" s="238"/>
      <c r="HM157" s="241"/>
      <c r="HN157" s="235"/>
      <c r="HO157" s="235"/>
      <c r="HP157" s="235"/>
      <c r="HQ157" s="235"/>
    </row>
    <row r="158" spans="2:225" ht="37.5" hidden="1" outlineLevel="2">
      <c r="B158" s="251" t="s">
        <v>1790</v>
      </c>
      <c r="C158" s="252" t="str">
        <f>IF(E141='3. Dropdowns'!C119,"Show",IF(E141="","Show","Hide"))</f>
        <v>Show</v>
      </c>
      <c r="D158" s="236" t="s">
        <v>3249</v>
      </c>
      <c r="E158" s="248"/>
      <c r="F158" s="284" t="str">
        <f>IF(E158='3. Dropdowns'!C115,"","Submittals, Execution")</f>
        <v>Submittals, Execution</v>
      </c>
      <c r="G158" s="268"/>
      <c r="H158" s="238"/>
      <c r="I158" s="239" t="s">
        <v>890</v>
      </c>
      <c r="J158" s="240" t="s">
        <v>890</v>
      </c>
      <c r="K158" s="240" t="s">
        <v>890</v>
      </c>
      <c r="L158" s="240"/>
      <c r="M158" s="240"/>
      <c r="N158" s="240"/>
      <c r="O158" s="240"/>
      <c r="P158" s="240"/>
      <c r="Q158" s="240"/>
      <c r="R158" s="240"/>
      <c r="S158" s="240"/>
      <c r="T158" s="240" t="s">
        <v>890</v>
      </c>
      <c r="U158" s="240"/>
      <c r="V158" s="240"/>
      <c r="W158" s="240"/>
      <c r="X158" s="238"/>
      <c r="Y158" s="240"/>
      <c r="Z158" s="240"/>
      <c r="AA158" s="240"/>
      <c r="AB158" s="240"/>
      <c r="AC158" s="240"/>
      <c r="AD158" s="240"/>
      <c r="AE158" s="240"/>
      <c r="AF158" s="240"/>
      <c r="AG158" s="240"/>
      <c r="AH158" s="238"/>
      <c r="AI158" s="240"/>
      <c r="AJ158" s="240"/>
      <c r="AK158" s="240"/>
      <c r="AL158" s="240"/>
      <c r="AM158" s="238"/>
      <c r="AN158" s="240"/>
      <c r="AO158" s="240"/>
      <c r="AP158" s="240"/>
      <c r="AQ158" s="238"/>
      <c r="AR158" s="240"/>
      <c r="AS158" s="240"/>
      <c r="AT158" s="240"/>
      <c r="AU158" s="240"/>
      <c r="AV158" s="240"/>
      <c r="AW158" s="240"/>
      <c r="AX158" s="240"/>
      <c r="AY158" s="240"/>
      <c r="AZ158" s="238"/>
      <c r="BA158" s="240"/>
      <c r="BB158" s="240"/>
      <c r="BC158" s="240"/>
      <c r="BD158" s="240"/>
      <c r="BE158" s="240" t="s">
        <v>890</v>
      </c>
      <c r="BF158" s="240"/>
      <c r="BG158" s="240"/>
      <c r="BH158" s="240"/>
      <c r="BI158" s="240"/>
      <c r="BJ158" s="240"/>
      <c r="BK158" s="240"/>
      <c r="BL158" s="240"/>
      <c r="BM158" s="240"/>
      <c r="BN158" s="240"/>
      <c r="BO158" s="240"/>
      <c r="BP158" s="238"/>
      <c r="BQ158" s="240"/>
      <c r="BR158" s="240"/>
      <c r="BS158" s="240"/>
      <c r="BT158" s="240"/>
      <c r="BU158" s="240"/>
      <c r="BV158" s="240"/>
      <c r="BW158" s="240"/>
      <c r="BX158" s="240"/>
      <c r="BY158" s="240"/>
      <c r="BZ158" s="240"/>
      <c r="CA158" s="240"/>
      <c r="CB158" s="240"/>
      <c r="CC158" s="240"/>
      <c r="CD158" s="240"/>
      <c r="CE158" s="240"/>
      <c r="CF158" s="238"/>
      <c r="CG158" s="240"/>
      <c r="CH158" s="240"/>
      <c r="CI158" s="240"/>
      <c r="CJ158" s="240"/>
      <c r="CK158" s="240"/>
      <c r="CL158" s="240"/>
      <c r="CM158" s="240"/>
      <c r="CN158" s="240"/>
      <c r="CO158" s="240"/>
      <c r="CP158" s="240"/>
      <c r="CQ158" s="240"/>
      <c r="CR158" s="240"/>
      <c r="CS158" s="238"/>
      <c r="CT158" s="240"/>
      <c r="CU158" s="240"/>
      <c r="CV158" s="240"/>
      <c r="CW158" s="240"/>
      <c r="CX158" s="240"/>
      <c r="CY158" s="240"/>
      <c r="CZ158" s="240"/>
      <c r="DA158" s="240"/>
      <c r="DB158" s="240"/>
      <c r="DC158" s="240"/>
      <c r="DD158" s="240"/>
      <c r="DE158" s="240"/>
      <c r="DF158" s="238"/>
      <c r="DG158" s="240"/>
      <c r="DH158" s="240"/>
      <c r="DI158" s="240"/>
      <c r="DJ158" s="240"/>
      <c r="DK158" s="240"/>
      <c r="DL158" s="240"/>
      <c r="DM158" s="240"/>
      <c r="DN158" s="240"/>
      <c r="DO158" s="240"/>
      <c r="DP158" s="240"/>
      <c r="DQ158" s="240"/>
      <c r="DR158" s="238"/>
      <c r="DS158" s="240"/>
      <c r="DT158" s="240"/>
      <c r="DU158" s="240"/>
      <c r="DV158" s="238"/>
      <c r="DW158" s="240"/>
      <c r="DX158" s="240"/>
      <c r="DY158" s="240"/>
      <c r="DZ158" s="240"/>
      <c r="EA158" s="240"/>
      <c r="EB158" s="240"/>
      <c r="EC158" s="240"/>
      <c r="ED158" s="240"/>
      <c r="EE158" s="240"/>
      <c r="EF158" s="238"/>
      <c r="EG158" s="240"/>
      <c r="EH158" s="240"/>
      <c r="EI158" s="240"/>
      <c r="EJ158" s="238"/>
      <c r="EK158" s="240"/>
      <c r="EL158" s="238"/>
      <c r="EM158" s="240"/>
      <c r="EN158" s="240"/>
      <c r="EO158" s="240"/>
      <c r="EP158" s="240"/>
      <c r="EQ158" s="240"/>
      <c r="ER158" s="240"/>
      <c r="ES158" s="240"/>
      <c r="ET158" s="240"/>
      <c r="EU158" s="240"/>
      <c r="EV158" s="240"/>
      <c r="EW158" s="240"/>
      <c r="EX158" s="238"/>
      <c r="EY158" s="240"/>
      <c r="EZ158" s="240"/>
      <c r="FA158" s="240"/>
      <c r="FB158" s="240"/>
      <c r="FC158" s="240"/>
      <c r="FD158" s="240"/>
      <c r="FE158" s="240"/>
      <c r="FF158" s="240"/>
      <c r="FG158" s="240"/>
      <c r="FH158" s="240"/>
      <c r="FI158" s="240"/>
      <c r="FJ158" s="240"/>
      <c r="FK158" s="240"/>
      <c r="FL158" s="240"/>
      <c r="FM158" s="240"/>
      <c r="FN158" s="240"/>
      <c r="FO158" s="238"/>
      <c r="FP158" s="240"/>
      <c r="FQ158" s="240"/>
      <c r="FR158" s="240"/>
      <c r="FS158" s="240"/>
      <c r="FT158" s="240"/>
      <c r="FU158" s="240"/>
      <c r="FV158" s="240"/>
      <c r="FW158" s="240"/>
      <c r="FX158" s="240"/>
      <c r="FY158" s="240"/>
      <c r="FZ158" s="238"/>
      <c r="GA158" s="240"/>
      <c r="GB158" s="240"/>
      <c r="GC158" s="238"/>
      <c r="GD158" s="240"/>
      <c r="GE158" s="240"/>
      <c r="GF158" s="240"/>
      <c r="GG158" s="240"/>
      <c r="GH158" s="238"/>
      <c r="GI158" s="240"/>
      <c r="GJ158" s="240"/>
      <c r="GK158" s="240"/>
      <c r="GL158" s="240"/>
      <c r="GM158" s="238"/>
      <c r="GN158" s="240"/>
      <c r="GO158" s="240"/>
      <c r="GP158" s="240"/>
      <c r="GQ158" s="240"/>
      <c r="GR158" s="240"/>
      <c r="GS158" s="240"/>
      <c r="GT158" s="240"/>
      <c r="GU158" s="240"/>
      <c r="GV158" s="240"/>
      <c r="GW158" s="240"/>
      <c r="GX158" s="240"/>
      <c r="GY158" s="240"/>
      <c r="GZ158" s="240"/>
      <c r="HA158" s="240"/>
      <c r="HB158" s="240"/>
      <c r="HC158" s="240"/>
      <c r="HD158" s="238"/>
      <c r="HE158" s="240"/>
      <c r="HF158" s="240"/>
      <c r="HG158" s="240"/>
      <c r="HH158" s="240"/>
      <c r="HI158" s="240"/>
      <c r="HJ158" s="238"/>
      <c r="HK158" s="240"/>
      <c r="HL158" s="238"/>
      <c r="HM158" s="241"/>
      <c r="HN158" s="235"/>
      <c r="HO158" s="235"/>
      <c r="HP158" s="235"/>
      <c r="HQ158" s="235"/>
    </row>
    <row r="159" spans="2:225" ht="37.5" hidden="1" outlineLevel="2">
      <c r="B159" s="251" t="s">
        <v>1790</v>
      </c>
      <c r="C159" s="252" t="str">
        <f>IF(E141='3. Dropdowns'!C119,"Show",IF(E141="","Show","Hide"))</f>
        <v>Show</v>
      </c>
      <c r="D159" s="236" t="s">
        <v>3392</v>
      </c>
      <c r="E159" s="248"/>
      <c r="F159" s="284" t="str">
        <f>IF(E159='3. Dropdowns'!C115,"","Submittals, Execution")</f>
        <v>Submittals, Execution</v>
      </c>
      <c r="G159" s="268"/>
      <c r="H159" s="238"/>
      <c r="I159" s="239" t="s">
        <v>890</v>
      </c>
      <c r="J159" s="240" t="s">
        <v>890</v>
      </c>
      <c r="K159" s="240" t="s">
        <v>890</v>
      </c>
      <c r="L159" s="240"/>
      <c r="M159" s="240"/>
      <c r="N159" s="240"/>
      <c r="O159" s="240"/>
      <c r="P159" s="240"/>
      <c r="Q159" s="240"/>
      <c r="R159" s="240"/>
      <c r="S159" s="240"/>
      <c r="T159" s="240" t="s">
        <v>890</v>
      </c>
      <c r="U159" s="240"/>
      <c r="V159" s="240"/>
      <c r="W159" s="240"/>
      <c r="X159" s="238"/>
      <c r="Y159" s="240"/>
      <c r="Z159" s="240"/>
      <c r="AA159" s="240"/>
      <c r="AB159" s="240"/>
      <c r="AC159" s="240"/>
      <c r="AD159" s="240"/>
      <c r="AE159" s="240"/>
      <c r="AF159" s="240"/>
      <c r="AG159" s="240"/>
      <c r="AH159" s="238"/>
      <c r="AI159" s="240"/>
      <c r="AJ159" s="240"/>
      <c r="AK159" s="240"/>
      <c r="AL159" s="240"/>
      <c r="AM159" s="238"/>
      <c r="AN159" s="240"/>
      <c r="AO159" s="240"/>
      <c r="AP159" s="240"/>
      <c r="AQ159" s="238"/>
      <c r="AR159" s="240"/>
      <c r="AS159" s="240"/>
      <c r="AT159" s="240"/>
      <c r="AU159" s="240"/>
      <c r="AV159" s="240"/>
      <c r="AW159" s="240"/>
      <c r="AX159" s="240"/>
      <c r="AY159" s="240"/>
      <c r="AZ159" s="238"/>
      <c r="BA159" s="240"/>
      <c r="BB159" s="240"/>
      <c r="BC159" s="240"/>
      <c r="BD159" s="240"/>
      <c r="BE159" s="240" t="s">
        <v>890</v>
      </c>
      <c r="BF159" s="240"/>
      <c r="BG159" s="240"/>
      <c r="BH159" s="240"/>
      <c r="BI159" s="240"/>
      <c r="BJ159" s="240"/>
      <c r="BK159" s="240"/>
      <c r="BL159" s="240"/>
      <c r="BM159" s="240"/>
      <c r="BN159" s="240"/>
      <c r="BO159" s="240"/>
      <c r="BP159" s="238"/>
      <c r="BQ159" s="240"/>
      <c r="BR159" s="240"/>
      <c r="BS159" s="240"/>
      <c r="BT159" s="240"/>
      <c r="BU159" s="240"/>
      <c r="BV159" s="240"/>
      <c r="BW159" s="240"/>
      <c r="BX159" s="240"/>
      <c r="BY159" s="240"/>
      <c r="BZ159" s="240"/>
      <c r="CA159" s="240"/>
      <c r="CB159" s="240"/>
      <c r="CC159" s="240"/>
      <c r="CD159" s="240"/>
      <c r="CE159" s="240"/>
      <c r="CF159" s="238"/>
      <c r="CG159" s="240"/>
      <c r="CH159" s="240"/>
      <c r="CI159" s="240"/>
      <c r="CJ159" s="240"/>
      <c r="CK159" s="240"/>
      <c r="CL159" s="240"/>
      <c r="CM159" s="240"/>
      <c r="CN159" s="240"/>
      <c r="CO159" s="240"/>
      <c r="CP159" s="240"/>
      <c r="CQ159" s="240"/>
      <c r="CR159" s="240"/>
      <c r="CS159" s="238"/>
      <c r="CT159" s="240"/>
      <c r="CU159" s="240"/>
      <c r="CV159" s="240"/>
      <c r="CW159" s="240"/>
      <c r="CX159" s="240"/>
      <c r="CY159" s="240"/>
      <c r="CZ159" s="240"/>
      <c r="DA159" s="240"/>
      <c r="DB159" s="240"/>
      <c r="DC159" s="240"/>
      <c r="DD159" s="240"/>
      <c r="DE159" s="240"/>
      <c r="DF159" s="238"/>
      <c r="DG159" s="240"/>
      <c r="DH159" s="240"/>
      <c r="DI159" s="240"/>
      <c r="DJ159" s="240"/>
      <c r="DK159" s="240"/>
      <c r="DL159" s="240"/>
      <c r="DM159" s="240"/>
      <c r="DN159" s="240"/>
      <c r="DO159" s="240"/>
      <c r="DP159" s="240"/>
      <c r="DQ159" s="240"/>
      <c r="DR159" s="238"/>
      <c r="DS159" s="240"/>
      <c r="DT159" s="240"/>
      <c r="DU159" s="240"/>
      <c r="DV159" s="238"/>
      <c r="DW159" s="240"/>
      <c r="DX159" s="240"/>
      <c r="DY159" s="240"/>
      <c r="DZ159" s="240"/>
      <c r="EA159" s="240"/>
      <c r="EB159" s="240"/>
      <c r="EC159" s="240"/>
      <c r="ED159" s="240"/>
      <c r="EE159" s="240"/>
      <c r="EF159" s="238"/>
      <c r="EG159" s="240"/>
      <c r="EH159" s="240"/>
      <c r="EI159" s="240"/>
      <c r="EJ159" s="238"/>
      <c r="EK159" s="240"/>
      <c r="EL159" s="238"/>
      <c r="EM159" s="240"/>
      <c r="EN159" s="240"/>
      <c r="EO159" s="240"/>
      <c r="EP159" s="240"/>
      <c r="EQ159" s="240"/>
      <c r="ER159" s="240"/>
      <c r="ES159" s="240"/>
      <c r="ET159" s="240"/>
      <c r="EU159" s="240"/>
      <c r="EV159" s="240"/>
      <c r="EW159" s="240"/>
      <c r="EX159" s="238"/>
      <c r="EY159" s="240"/>
      <c r="EZ159" s="240"/>
      <c r="FA159" s="240"/>
      <c r="FB159" s="240"/>
      <c r="FC159" s="240"/>
      <c r="FD159" s="240"/>
      <c r="FE159" s="240"/>
      <c r="FF159" s="240"/>
      <c r="FG159" s="240"/>
      <c r="FH159" s="240"/>
      <c r="FI159" s="240"/>
      <c r="FJ159" s="240"/>
      <c r="FK159" s="240"/>
      <c r="FL159" s="240"/>
      <c r="FM159" s="240"/>
      <c r="FN159" s="240"/>
      <c r="FO159" s="238"/>
      <c r="FP159" s="240"/>
      <c r="FQ159" s="240"/>
      <c r="FR159" s="240"/>
      <c r="FS159" s="240"/>
      <c r="FT159" s="240"/>
      <c r="FU159" s="240"/>
      <c r="FV159" s="240"/>
      <c r="FW159" s="240"/>
      <c r="FX159" s="240"/>
      <c r="FY159" s="240"/>
      <c r="FZ159" s="238"/>
      <c r="GA159" s="240"/>
      <c r="GB159" s="240"/>
      <c r="GC159" s="238"/>
      <c r="GD159" s="240"/>
      <c r="GE159" s="240"/>
      <c r="GF159" s="240"/>
      <c r="GG159" s="240"/>
      <c r="GH159" s="238"/>
      <c r="GI159" s="240"/>
      <c r="GJ159" s="240"/>
      <c r="GK159" s="240"/>
      <c r="GL159" s="240"/>
      <c r="GM159" s="238"/>
      <c r="GN159" s="240"/>
      <c r="GO159" s="240"/>
      <c r="GP159" s="240"/>
      <c r="GQ159" s="240"/>
      <c r="GR159" s="240"/>
      <c r="GS159" s="240"/>
      <c r="GT159" s="240"/>
      <c r="GU159" s="240"/>
      <c r="GV159" s="240"/>
      <c r="GW159" s="240"/>
      <c r="GX159" s="240"/>
      <c r="GY159" s="240"/>
      <c r="GZ159" s="240"/>
      <c r="HA159" s="240"/>
      <c r="HB159" s="240"/>
      <c r="HC159" s="240"/>
      <c r="HD159" s="238"/>
      <c r="HE159" s="240"/>
      <c r="HF159" s="240"/>
      <c r="HG159" s="240"/>
      <c r="HH159" s="240"/>
      <c r="HI159" s="240"/>
      <c r="HJ159" s="238"/>
      <c r="HK159" s="240"/>
      <c r="HL159" s="238"/>
      <c r="HM159" s="241"/>
      <c r="HN159" s="235"/>
      <c r="HO159" s="235"/>
      <c r="HP159" s="235"/>
      <c r="HQ159" s="235"/>
    </row>
    <row r="160" spans="2:225" hidden="1" outlineLevel="2">
      <c r="B160" s="251" t="s">
        <v>1790</v>
      </c>
      <c r="C160" s="252" t="str">
        <f>IF(E141='3. Dropdowns'!C119,"Show",IF(E141="","Show","Hide"))</f>
        <v>Show</v>
      </c>
      <c r="D160" s="236" t="s">
        <v>3250</v>
      </c>
      <c r="E160" s="248"/>
      <c r="F160" s="284" t="str">
        <f>IF(E160='3. Dropdowns'!C115,"","Submittals, Execution")</f>
        <v>Submittals, Execution</v>
      </c>
      <c r="G160" s="268"/>
      <c r="H160" s="238"/>
      <c r="I160" s="239" t="s">
        <v>890</v>
      </c>
      <c r="J160" s="240" t="s">
        <v>890</v>
      </c>
      <c r="K160" s="240" t="s">
        <v>890</v>
      </c>
      <c r="L160" s="240"/>
      <c r="M160" s="240"/>
      <c r="N160" s="240"/>
      <c r="O160" s="240"/>
      <c r="P160" s="240"/>
      <c r="Q160" s="240"/>
      <c r="R160" s="240"/>
      <c r="S160" s="240"/>
      <c r="T160" s="240" t="s">
        <v>890</v>
      </c>
      <c r="U160" s="240"/>
      <c r="V160" s="240"/>
      <c r="W160" s="240"/>
      <c r="X160" s="238"/>
      <c r="Y160" s="240"/>
      <c r="Z160" s="240"/>
      <c r="AA160" s="240"/>
      <c r="AB160" s="240"/>
      <c r="AC160" s="240"/>
      <c r="AD160" s="240"/>
      <c r="AE160" s="240"/>
      <c r="AF160" s="240"/>
      <c r="AG160" s="240"/>
      <c r="AH160" s="238"/>
      <c r="AI160" s="240"/>
      <c r="AJ160" s="240"/>
      <c r="AK160" s="240"/>
      <c r="AL160" s="240"/>
      <c r="AM160" s="238"/>
      <c r="AN160" s="240"/>
      <c r="AO160" s="240"/>
      <c r="AP160" s="240"/>
      <c r="AQ160" s="238"/>
      <c r="AR160" s="240"/>
      <c r="AS160" s="240"/>
      <c r="AT160" s="240"/>
      <c r="AU160" s="240"/>
      <c r="AV160" s="240"/>
      <c r="AW160" s="240"/>
      <c r="AX160" s="240"/>
      <c r="AY160" s="240"/>
      <c r="AZ160" s="238"/>
      <c r="BA160" s="240"/>
      <c r="BB160" s="240"/>
      <c r="BC160" s="240"/>
      <c r="BD160" s="240"/>
      <c r="BE160" s="240"/>
      <c r="BF160" s="240"/>
      <c r="BG160" s="240"/>
      <c r="BH160" s="240"/>
      <c r="BI160" s="240"/>
      <c r="BJ160" s="240"/>
      <c r="BK160" s="240"/>
      <c r="BL160" s="240"/>
      <c r="BM160" s="240"/>
      <c r="BN160" s="240"/>
      <c r="BO160" s="240"/>
      <c r="BP160" s="238"/>
      <c r="BQ160" s="240"/>
      <c r="BR160" s="240"/>
      <c r="BS160" s="240"/>
      <c r="BT160" s="240"/>
      <c r="BU160" s="240"/>
      <c r="BV160" s="240"/>
      <c r="BW160" s="240"/>
      <c r="BX160" s="240"/>
      <c r="BY160" s="240"/>
      <c r="BZ160" s="240"/>
      <c r="CA160" s="240"/>
      <c r="CB160" s="240"/>
      <c r="CC160" s="240"/>
      <c r="CD160" s="240"/>
      <c r="CE160" s="240"/>
      <c r="CF160" s="238"/>
      <c r="CG160" s="240"/>
      <c r="CH160" s="240"/>
      <c r="CI160" s="240"/>
      <c r="CJ160" s="240"/>
      <c r="CK160" s="240"/>
      <c r="CL160" s="240"/>
      <c r="CM160" s="240"/>
      <c r="CN160" s="240"/>
      <c r="CO160" s="240"/>
      <c r="CP160" s="240"/>
      <c r="CQ160" s="240"/>
      <c r="CR160" s="240"/>
      <c r="CS160" s="238"/>
      <c r="CT160" s="240"/>
      <c r="CU160" s="240"/>
      <c r="CV160" s="240"/>
      <c r="CW160" s="240"/>
      <c r="CX160" s="240"/>
      <c r="CY160" s="240"/>
      <c r="CZ160" s="240"/>
      <c r="DA160" s="240"/>
      <c r="DB160" s="240"/>
      <c r="DC160" s="240"/>
      <c r="DD160" s="240"/>
      <c r="DE160" s="240"/>
      <c r="DF160" s="238"/>
      <c r="DG160" s="240"/>
      <c r="DH160" s="240"/>
      <c r="DI160" s="240"/>
      <c r="DJ160" s="240"/>
      <c r="DK160" s="240"/>
      <c r="DL160" s="240"/>
      <c r="DM160" s="240"/>
      <c r="DN160" s="240"/>
      <c r="DO160" s="240"/>
      <c r="DP160" s="240"/>
      <c r="DQ160" s="240"/>
      <c r="DR160" s="238"/>
      <c r="DS160" s="240"/>
      <c r="DT160" s="240"/>
      <c r="DU160" s="240"/>
      <c r="DV160" s="238"/>
      <c r="DW160" s="240"/>
      <c r="DX160" s="240"/>
      <c r="DY160" s="240"/>
      <c r="DZ160" s="240"/>
      <c r="EA160" s="240"/>
      <c r="EB160" s="240"/>
      <c r="EC160" s="240"/>
      <c r="ED160" s="240"/>
      <c r="EE160" s="240"/>
      <c r="EF160" s="238"/>
      <c r="EG160" s="240"/>
      <c r="EH160" s="240"/>
      <c r="EI160" s="240"/>
      <c r="EJ160" s="238"/>
      <c r="EK160" s="240"/>
      <c r="EL160" s="238"/>
      <c r="EM160" s="240"/>
      <c r="EN160" s="240"/>
      <c r="EO160" s="240"/>
      <c r="EP160" s="240"/>
      <c r="EQ160" s="240"/>
      <c r="ER160" s="240"/>
      <c r="ES160" s="240"/>
      <c r="ET160" s="240"/>
      <c r="EU160" s="240"/>
      <c r="EV160" s="240"/>
      <c r="EW160" s="240"/>
      <c r="EX160" s="238"/>
      <c r="EY160" s="240"/>
      <c r="EZ160" s="240"/>
      <c r="FA160" s="240"/>
      <c r="FB160" s="240"/>
      <c r="FC160" s="240"/>
      <c r="FD160" s="240"/>
      <c r="FE160" s="240"/>
      <c r="FF160" s="240"/>
      <c r="FG160" s="240"/>
      <c r="FH160" s="240"/>
      <c r="FI160" s="240"/>
      <c r="FJ160" s="240"/>
      <c r="FK160" s="240"/>
      <c r="FL160" s="240"/>
      <c r="FM160" s="240"/>
      <c r="FN160" s="240"/>
      <c r="FO160" s="238"/>
      <c r="FP160" s="240"/>
      <c r="FQ160" s="240"/>
      <c r="FR160" s="240"/>
      <c r="FS160" s="240"/>
      <c r="FT160" s="240"/>
      <c r="FU160" s="240"/>
      <c r="FV160" s="240"/>
      <c r="FW160" s="240"/>
      <c r="FX160" s="240"/>
      <c r="FY160" s="240"/>
      <c r="FZ160" s="238"/>
      <c r="GA160" s="240"/>
      <c r="GB160" s="240"/>
      <c r="GC160" s="238"/>
      <c r="GD160" s="240"/>
      <c r="GE160" s="240"/>
      <c r="GF160" s="240"/>
      <c r="GG160" s="240"/>
      <c r="GH160" s="238"/>
      <c r="GI160" s="240"/>
      <c r="GJ160" s="240"/>
      <c r="GK160" s="240"/>
      <c r="GL160" s="240"/>
      <c r="GM160" s="238"/>
      <c r="GN160" s="240"/>
      <c r="GO160" s="240"/>
      <c r="GP160" s="240"/>
      <c r="GQ160" s="240"/>
      <c r="GR160" s="240"/>
      <c r="GS160" s="240"/>
      <c r="GT160" s="240"/>
      <c r="GU160" s="240"/>
      <c r="GV160" s="240"/>
      <c r="GW160" s="240"/>
      <c r="GX160" s="240"/>
      <c r="GY160" s="240"/>
      <c r="GZ160" s="240"/>
      <c r="HA160" s="240"/>
      <c r="HB160" s="240"/>
      <c r="HC160" s="240"/>
      <c r="HD160" s="238"/>
      <c r="HE160" s="240"/>
      <c r="HF160" s="240"/>
      <c r="HG160" s="240"/>
      <c r="HH160" s="240"/>
      <c r="HI160" s="240"/>
      <c r="HJ160" s="238"/>
      <c r="HK160" s="240"/>
      <c r="HL160" s="238"/>
      <c r="HM160" s="241"/>
      <c r="HN160" s="235"/>
      <c r="HO160" s="235"/>
      <c r="HP160" s="235"/>
      <c r="HQ160" s="235"/>
    </row>
    <row r="161" spans="2:225" ht="37.5" hidden="1" outlineLevel="1" collapsed="1">
      <c r="B161" s="251" t="s">
        <v>1790</v>
      </c>
      <c r="C161" s="252" t="str">
        <f>IF(E141='3. Dropdowns'!C119,"Show",IF(E141="","Show","Hide"))</f>
        <v>Show</v>
      </c>
      <c r="D161" s="236" t="s">
        <v>3251</v>
      </c>
      <c r="E161" s="248"/>
      <c r="F161" s="284" t="s">
        <v>540</v>
      </c>
      <c r="G161" s="268"/>
      <c r="H161" s="238"/>
      <c r="I161" s="239" t="s">
        <v>890</v>
      </c>
      <c r="J161" s="240"/>
      <c r="K161" s="240"/>
      <c r="L161" s="240"/>
      <c r="M161" s="240"/>
      <c r="N161" s="240"/>
      <c r="O161" s="240"/>
      <c r="P161" s="240"/>
      <c r="Q161" s="240"/>
      <c r="R161" s="240"/>
      <c r="S161" s="240"/>
      <c r="T161" s="240" t="s">
        <v>890</v>
      </c>
      <c r="U161" s="240"/>
      <c r="V161" s="240"/>
      <c r="W161" s="240"/>
      <c r="X161" s="238"/>
      <c r="Y161" s="240"/>
      <c r="Z161" s="240"/>
      <c r="AA161" s="240"/>
      <c r="AB161" s="240"/>
      <c r="AC161" s="240"/>
      <c r="AD161" s="240"/>
      <c r="AE161" s="240"/>
      <c r="AF161" s="240"/>
      <c r="AG161" s="240"/>
      <c r="AH161" s="238"/>
      <c r="AI161" s="240"/>
      <c r="AJ161" s="240"/>
      <c r="AK161" s="240"/>
      <c r="AL161" s="240"/>
      <c r="AM161" s="238"/>
      <c r="AN161" s="240"/>
      <c r="AO161" s="240"/>
      <c r="AP161" s="240"/>
      <c r="AQ161" s="238"/>
      <c r="AR161" s="240"/>
      <c r="AS161" s="240"/>
      <c r="AT161" s="240"/>
      <c r="AU161" s="240"/>
      <c r="AV161" s="240"/>
      <c r="AW161" s="240"/>
      <c r="AX161" s="240"/>
      <c r="AY161" s="240"/>
      <c r="AZ161" s="238"/>
      <c r="BA161" s="240" t="s">
        <v>890</v>
      </c>
      <c r="BB161" s="240"/>
      <c r="BC161" s="240"/>
      <c r="BD161" s="240"/>
      <c r="BE161" s="240"/>
      <c r="BF161" s="240"/>
      <c r="BG161" s="240"/>
      <c r="BH161" s="240"/>
      <c r="BI161" s="240"/>
      <c r="BJ161" s="240"/>
      <c r="BK161" s="240"/>
      <c r="BL161" s="240"/>
      <c r="BM161" s="240"/>
      <c r="BN161" s="240"/>
      <c r="BO161" s="240"/>
      <c r="BP161" s="238"/>
      <c r="BQ161" s="240"/>
      <c r="BR161" s="240"/>
      <c r="BS161" s="240"/>
      <c r="BT161" s="240"/>
      <c r="BU161" s="240"/>
      <c r="BV161" s="240"/>
      <c r="BW161" s="240"/>
      <c r="BX161" s="240"/>
      <c r="BY161" s="240"/>
      <c r="BZ161" s="240"/>
      <c r="CA161" s="240"/>
      <c r="CB161" s="240"/>
      <c r="CC161" s="240"/>
      <c r="CD161" s="240"/>
      <c r="CE161" s="240"/>
      <c r="CF161" s="238"/>
      <c r="CG161" s="240"/>
      <c r="CH161" s="240"/>
      <c r="CI161" s="240"/>
      <c r="CJ161" s="240"/>
      <c r="CK161" s="240"/>
      <c r="CL161" s="240"/>
      <c r="CM161" s="240"/>
      <c r="CN161" s="240"/>
      <c r="CO161" s="240"/>
      <c r="CP161" s="240"/>
      <c r="CQ161" s="240"/>
      <c r="CR161" s="240"/>
      <c r="CS161" s="238"/>
      <c r="CT161" s="240"/>
      <c r="CU161" s="240"/>
      <c r="CV161" s="240"/>
      <c r="CW161" s="240"/>
      <c r="CX161" s="240"/>
      <c r="CY161" s="240"/>
      <c r="CZ161" s="240"/>
      <c r="DA161" s="240"/>
      <c r="DB161" s="240"/>
      <c r="DC161" s="240"/>
      <c r="DD161" s="240"/>
      <c r="DE161" s="240"/>
      <c r="DF161" s="238"/>
      <c r="DG161" s="240"/>
      <c r="DH161" s="240"/>
      <c r="DI161" s="240"/>
      <c r="DJ161" s="240"/>
      <c r="DK161" s="240"/>
      <c r="DL161" s="240"/>
      <c r="DM161" s="240"/>
      <c r="DN161" s="240"/>
      <c r="DO161" s="240"/>
      <c r="DP161" s="240"/>
      <c r="DQ161" s="240"/>
      <c r="DR161" s="238"/>
      <c r="DS161" s="240"/>
      <c r="DT161" s="240"/>
      <c r="DU161" s="240"/>
      <c r="DV161" s="238"/>
      <c r="DW161" s="240"/>
      <c r="DX161" s="240"/>
      <c r="DY161" s="240"/>
      <c r="DZ161" s="240"/>
      <c r="EA161" s="240"/>
      <c r="EB161" s="240"/>
      <c r="EC161" s="240"/>
      <c r="ED161" s="240"/>
      <c r="EE161" s="240"/>
      <c r="EF161" s="238"/>
      <c r="EG161" s="240"/>
      <c r="EH161" s="240"/>
      <c r="EI161" s="240"/>
      <c r="EJ161" s="238"/>
      <c r="EK161" s="240"/>
      <c r="EL161" s="238"/>
      <c r="EM161" s="240"/>
      <c r="EN161" s="240"/>
      <c r="EO161" s="240"/>
      <c r="EP161" s="240"/>
      <c r="EQ161" s="240"/>
      <c r="ER161" s="240"/>
      <c r="ES161" s="240"/>
      <c r="ET161" s="240"/>
      <c r="EU161" s="240"/>
      <c r="EV161" s="240"/>
      <c r="EW161" s="240"/>
      <c r="EX161" s="238"/>
      <c r="EY161" s="240"/>
      <c r="EZ161" s="240"/>
      <c r="FA161" s="240"/>
      <c r="FB161" s="240"/>
      <c r="FC161" s="240"/>
      <c r="FD161" s="240"/>
      <c r="FE161" s="240"/>
      <c r="FF161" s="240"/>
      <c r="FG161" s="240"/>
      <c r="FH161" s="240"/>
      <c r="FI161" s="240"/>
      <c r="FJ161" s="240"/>
      <c r="FK161" s="240"/>
      <c r="FL161" s="240"/>
      <c r="FM161" s="240"/>
      <c r="FN161" s="240"/>
      <c r="FO161" s="238"/>
      <c r="FP161" s="240"/>
      <c r="FQ161" s="240"/>
      <c r="FR161" s="240"/>
      <c r="FS161" s="240"/>
      <c r="FT161" s="240"/>
      <c r="FU161" s="240"/>
      <c r="FV161" s="240"/>
      <c r="FW161" s="240"/>
      <c r="FX161" s="240"/>
      <c r="FY161" s="240"/>
      <c r="FZ161" s="238"/>
      <c r="GA161" s="240"/>
      <c r="GB161" s="240"/>
      <c r="GC161" s="238"/>
      <c r="GD161" s="240"/>
      <c r="GE161" s="240"/>
      <c r="GF161" s="240"/>
      <c r="GG161" s="240"/>
      <c r="GH161" s="238"/>
      <c r="GI161" s="240"/>
      <c r="GJ161" s="240"/>
      <c r="GK161" s="240"/>
      <c r="GL161" s="240"/>
      <c r="GM161" s="238"/>
      <c r="GN161" s="240"/>
      <c r="GO161" s="240"/>
      <c r="GP161" s="240"/>
      <c r="GQ161" s="240"/>
      <c r="GR161" s="240"/>
      <c r="GS161" s="240"/>
      <c r="GT161" s="240"/>
      <c r="GU161" s="240"/>
      <c r="GV161" s="240"/>
      <c r="GW161" s="240"/>
      <c r="GX161" s="240"/>
      <c r="GY161" s="240"/>
      <c r="GZ161" s="240"/>
      <c r="HA161" s="240"/>
      <c r="HB161" s="240"/>
      <c r="HC161" s="240"/>
      <c r="HD161" s="238"/>
      <c r="HE161" s="240"/>
      <c r="HF161" s="240"/>
      <c r="HG161" s="240"/>
      <c r="HH161" s="240"/>
      <c r="HI161" s="240"/>
      <c r="HJ161" s="238"/>
      <c r="HK161" s="240"/>
      <c r="HL161" s="238"/>
      <c r="HM161" s="241"/>
      <c r="HN161" s="235"/>
      <c r="HO161" s="235"/>
      <c r="HP161" s="235"/>
      <c r="HQ161" s="235"/>
    </row>
    <row r="162" spans="2:225" hidden="1" outlineLevel="1">
      <c r="B162" s="275"/>
      <c r="C162" s="258" t="s">
        <v>116</v>
      </c>
      <c r="D162" s="236" t="s">
        <v>3252</v>
      </c>
      <c r="E162" s="248"/>
      <c r="F162" s="284" t="str">
        <f>IF(E162='3. Dropdowns'!C124,"","Submittals, Products, Execution")</f>
        <v>Submittals, Products, Execution</v>
      </c>
      <c r="G162" s="268"/>
      <c r="H162" s="242"/>
      <c r="I162" s="239"/>
      <c r="J162" s="240"/>
      <c r="K162" s="240"/>
      <c r="L162" s="240"/>
      <c r="M162" s="240"/>
      <c r="N162" s="240"/>
      <c r="O162" s="240"/>
      <c r="P162" s="240"/>
      <c r="Q162" s="240"/>
      <c r="R162" s="240"/>
      <c r="S162" s="240"/>
      <c r="T162" s="240" t="s">
        <v>890</v>
      </c>
      <c r="U162" s="240"/>
      <c r="V162" s="240"/>
      <c r="W162" s="240"/>
      <c r="X162" s="242"/>
      <c r="Y162" s="240"/>
      <c r="Z162" s="240"/>
      <c r="AA162" s="240"/>
      <c r="AB162" s="240"/>
      <c r="AC162" s="240"/>
      <c r="AD162" s="240"/>
      <c r="AE162" s="240"/>
      <c r="AF162" s="240"/>
      <c r="AG162" s="240"/>
      <c r="AH162" s="242"/>
      <c r="AI162" s="240"/>
      <c r="AJ162" s="240"/>
      <c r="AK162" s="240"/>
      <c r="AL162" s="240"/>
      <c r="AM162" s="242"/>
      <c r="AN162" s="240"/>
      <c r="AO162" s="240"/>
      <c r="AP162" s="240"/>
      <c r="AQ162" s="242"/>
      <c r="AR162" s="240"/>
      <c r="AS162" s="240"/>
      <c r="AT162" s="240"/>
      <c r="AU162" s="240" t="s">
        <v>890</v>
      </c>
      <c r="AV162" s="240" t="s">
        <v>890</v>
      </c>
      <c r="AW162" s="240" t="s">
        <v>890</v>
      </c>
      <c r="AX162" s="240"/>
      <c r="AY162" s="240"/>
      <c r="AZ162" s="242"/>
      <c r="BA162" s="240"/>
      <c r="BB162" s="240" t="s">
        <v>890</v>
      </c>
      <c r="BC162" s="240"/>
      <c r="BD162" s="240" t="s">
        <v>890</v>
      </c>
      <c r="BE162" s="240"/>
      <c r="BF162" s="240"/>
      <c r="BG162" s="240" t="s">
        <v>890</v>
      </c>
      <c r="BH162" s="240"/>
      <c r="BI162" s="240"/>
      <c r="BJ162" s="240"/>
      <c r="BK162" s="240"/>
      <c r="BL162" s="240"/>
      <c r="BM162" s="240"/>
      <c r="BN162" s="240"/>
      <c r="BO162" s="240"/>
      <c r="BP162" s="242"/>
      <c r="BQ162" s="240"/>
      <c r="BR162" s="240"/>
      <c r="BS162" s="240"/>
      <c r="BT162" s="240"/>
      <c r="BU162" s="240"/>
      <c r="BV162" s="240"/>
      <c r="BW162" s="240"/>
      <c r="BX162" s="240" t="s">
        <v>890</v>
      </c>
      <c r="BY162" s="240" t="s">
        <v>890</v>
      </c>
      <c r="BZ162" s="240" t="s">
        <v>890</v>
      </c>
      <c r="CA162" s="240"/>
      <c r="CB162" s="240"/>
      <c r="CC162" s="240" t="s">
        <v>890</v>
      </c>
      <c r="CD162" s="240"/>
      <c r="CE162" s="240"/>
      <c r="CF162" s="242"/>
      <c r="CG162" s="240"/>
      <c r="CH162" s="240"/>
      <c r="CI162" s="240"/>
      <c r="CJ162" s="240"/>
      <c r="CK162" s="240"/>
      <c r="CL162" s="240"/>
      <c r="CM162" s="240" t="s">
        <v>890</v>
      </c>
      <c r="CN162" s="240"/>
      <c r="CO162" s="240"/>
      <c r="CP162" s="240"/>
      <c r="CQ162" s="240"/>
      <c r="CR162" s="240" t="s">
        <v>890</v>
      </c>
      <c r="CS162" s="242"/>
      <c r="CT162" s="240"/>
      <c r="CU162" s="240"/>
      <c r="CV162" s="240"/>
      <c r="CW162" s="240"/>
      <c r="CX162" s="240"/>
      <c r="CY162" s="240"/>
      <c r="CZ162" s="240"/>
      <c r="DA162" s="240"/>
      <c r="DB162" s="240"/>
      <c r="DC162" s="240"/>
      <c r="DD162" s="240"/>
      <c r="DE162" s="240"/>
      <c r="DF162" s="242"/>
      <c r="DG162" s="240"/>
      <c r="DH162" s="240"/>
      <c r="DI162" s="240"/>
      <c r="DJ162" s="240"/>
      <c r="DK162" s="240"/>
      <c r="DL162" s="240"/>
      <c r="DM162" s="240"/>
      <c r="DN162" s="240"/>
      <c r="DO162" s="240"/>
      <c r="DP162" s="240"/>
      <c r="DQ162" s="240"/>
      <c r="DR162" s="242"/>
      <c r="DS162" s="240"/>
      <c r="DT162" s="240"/>
      <c r="DU162" s="240"/>
      <c r="DV162" s="242"/>
      <c r="DW162" s="240"/>
      <c r="DX162" s="240"/>
      <c r="DY162" s="240"/>
      <c r="DZ162" s="240"/>
      <c r="EA162" s="240"/>
      <c r="EB162" s="240"/>
      <c r="EC162" s="240"/>
      <c r="ED162" s="240"/>
      <c r="EE162" s="240"/>
      <c r="EF162" s="242"/>
      <c r="EG162" s="240"/>
      <c r="EH162" s="240"/>
      <c r="EI162" s="240"/>
      <c r="EJ162" s="242"/>
      <c r="EK162" s="240"/>
      <c r="EL162" s="242"/>
      <c r="EM162" s="240"/>
      <c r="EN162" s="240"/>
      <c r="EO162" s="240"/>
      <c r="EP162" s="240"/>
      <c r="EQ162" s="240"/>
      <c r="ER162" s="240"/>
      <c r="ES162" s="240"/>
      <c r="ET162" s="240"/>
      <c r="EU162" s="240"/>
      <c r="EV162" s="240"/>
      <c r="EW162" s="240"/>
      <c r="EX162" s="242"/>
      <c r="EY162" s="240"/>
      <c r="EZ162" s="240"/>
      <c r="FA162" s="240"/>
      <c r="FB162" s="240"/>
      <c r="FC162" s="240"/>
      <c r="FD162" s="240"/>
      <c r="FE162" s="240"/>
      <c r="FF162" s="240"/>
      <c r="FG162" s="240"/>
      <c r="FH162" s="240"/>
      <c r="FI162" s="240"/>
      <c r="FJ162" s="240"/>
      <c r="FK162" s="240"/>
      <c r="FL162" s="240"/>
      <c r="FM162" s="240"/>
      <c r="FN162" s="240"/>
      <c r="FO162" s="242"/>
      <c r="FP162" s="240"/>
      <c r="FQ162" s="240"/>
      <c r="FR162" s="240"/>
      <c r="FS162" s="240"/>
      <c r="FT162" s="240"/>
      <c r="FU162" s="240"/>
      <c r="FV162" s="240"/>
      <c r="FW162" s="240"/>
      <c r="FX162" s="240"/>
      <c r="FY162" s="240"/>
      <c r="FZ162" s="242"/>
      <c r="GA162" s="240"/>
      <c r="GB162" s="240"/>
      <c r="GC162" s="242"/>
      <c r="GD162" s="240"/>
      <c r="GE162" s="240"/>
      <c r="GF162" s="240"/>
      <c r="GG162" s="240"/>
      <c r="GH162" s="242"/>
      <c r="GI162" s="240"/>
      <c r="GJ162" s="240"/>
      <c r="GK162" s="240"/>
      <c r="GL162" s="240"/>
      <c r="GM162" s="242"/>
      <c r="GN162" s="240" t="s">
        <v>890</v>
      </c>
      <c r="GO162" s="240" t="s">
        <v>890</v>
      </c>
      <c r="GP162" s="240" t="s">
        <v>890</v>
      </c>
      <c r="GQ162" s="240" t="s">
        <v>890</v>
      </c>
      <c r="GR162" s="240"/>
      <c r="GS162" s="240"/>
      <c r="GT162" s="240"/>
      <c r="GU162" s="240" t="s">
        <v>890</v>
      </c>
      <c r="GV162" s="240"/>
      <c r="GW162" s="240" t="s">
        <v>890</v>
      </c>
      <c r="GX162" s="240"/>
      <c r="GY162" s="240" t="s">
        <v>890</v>
      </c>
      <c r="GZ162" s="240"/>
      <c r="HA162" s="240" t="s">
        <v>890</v>
      </c>
      <c r="HB162" s="240" t="s">
        <v>890</v>
      </c>
      <c r="HC162" s="240"/>
      <c r="HD162" s="242"/>
      <c r="HE162" s="240"/>
      <c r="HF162" s="240"/>
      <c r="HG162" s="240"/>
      <c r="HH162" s="240"/>
      <c r="HI162" s="240"/>
      <c r="HJ162" s="242"/>
      <c r="HK162" s="240"/>
      <c r="HL162" s="242"/>
      <c r="HM162" s="241"/>
      <c r="HN162" s="235"/>
      <c r="HO162" s="235"/>
      <c r="HP162" s="235"/>
      <c r="HQ162" s="235"/>
    </row>
    <row r="163" spans="2:225" collapsed="1">
      <c r="B163" s="275"/>
      <c r="C163" s="258" t="s">
        <v>116</v>
      </c>
      <c r="D163" s="220" t="s">
        <v>102</v>
      </c>
      <c r="E163" s="221"/>
      <c r="F163" s="286"/>
      <c r="G163" s="222"/>
      <c r="H163" s="224"/>
      <c r="I163" s="224"/>
      <c r="J163" s="224"/>
      <c r="K163" s="224"/>
      <c r="L163" s="224"/>
      <c r="M163" s="224"/>
      <c r="N163" s="224"/>
      <c r="O163" s="224"/>
      <c r="P163" s="224"/>
      <c r="Q163" s="224"/>
      <c r="R163" s="224"/>
      <c r="S163" s="224"/>
      <c r="T163" s="224"/>
      <c r="U163" s="224"/>
      <c r="V163" s="224"/>
      <c r="W163" s="224"/>
      <c r="X163" s="224"/>
      <c r="Y163" s="224"/>
      <c r="Z163" s="224"/>
      <c r="AA163" s="224"/>
      <c r="AB163" s="224"/>
      <c r="AC163" s="224"/>
      <c r="AD163" s="224"/>
      <c r="AE163" s="224"/>
      <c r="AF163" s="224"/>
      <c r="AG163" s="224"/>
      <c r="AH163" s="224"/>
      <c r="AI163" s="224"/>
      <c r="AJ163" s="224"/>
      <c r="AK163" s="224"/>
      <c r="AL163" s="224"/>
      <c r="AM163" s="224"/>
      <c r="AN163" s="224"/>
      <c r="AO163" s="224"/>
      <c r="AP163" s="224"/>
      <c r="AQ163" s="224"/>
      <c r="AR163" s="224"/>
      <c r="AS163" s="224"/>
      <c r="AT163" s="224"/>
      <c r="AU163" s="224"/>
      <c r="AV163" s="224"/>
      <c r="AW163" s="224"/>
      <c r="AX163" s="224"/>
      <c r="AY163" s="224"/>
      <c r="AZ163" s="224"/>
      <c r="BA163" s="224"/>
      <c r="BB163" s="224"/>
      <c r="BC163" s="224"/>
      <c r="BD163" s="224"/>
      <c r="BE163" s="224"/>
      <c r="BF163" s="224"/>
      <c r="BG163" s="224"/>
      <c r="BH163" s="224"/>
      <c r="BI163" s="224"/>
      <c r="BJ163" s="224"/>
      <c r="BK163" s="224"/>
      <c r="BL163" s="224"/>
      <c r="BM163" s="224"/>
      <c r="BN163" s="224"/>
      <c r="BO163" s="224"/>
      <c r="BP163" s="224"/>
      <c r="BQ163" s="224"/>
      <c r="BR163" s="224"/>
      <c r="BS163" s="224"/>
      <c r="BT163" s="224"/>
      <c r="BU163" s="224"/>
      <c r="BV163" s="224"/>
      <c r="BW163" s="224"/>
      <c r="BX163" s="224"/>
      <c r="BY163" s="224"/>
      <c r="BZ163" s="224"/>
      <c r="CA163" s="224"/>
      <c r="CB163" s="224"/>
      <c r="CC163" s="224"/>
      <c r="CD163" s="224"/>
      <c r="CE163" s="224"/>
      <c r="CF163" s="224"/>
      <c r="CG163" s="224"/>
      <c r="CH163" s="224"/>
      <c r="CI163" s="224"/>
      <c r="CJ163" s="224"/>
      <c r="CK163" s="224"/>
      <c r="CL163" s="224"/>
      <c r="CM163" s="224"/>
      <c r="CN163" s="224"/>
      <c r="CO163" s="224"/>
      <c r="CP163" s="224"/>
      <c r="CQ163" s="224"/>
      <c r="CR163" s="224"/>
      <c r="CS163" s="224"/>
      <c r="CT163" s="224"/>
      <c r="CU163" s="224"/>
      <c r="CV163" s="224"/>
      <c r="CW163" s="224"/>
      <c r="CX163" s="224"/>
      <c r="CY163" s="224"/>
      <c r="CZ163" s="224"/>
      <c r="DA163" s="224"/>
      <c r="DB163" s="224"/>
      <c r="DC163" s="224"/>
      <c r="DD163" s="224"/>
      <c r="DE163" s="224"/>
      <c r="DF163" s="224"/>
      <c r="DG163" s="224"/>
      <c r="DH163" s="224"/>
      <c r="DI163" s="224"/>
      <c r="DJ163" s="224"/>
      <c r="DK163" s="224"/>
      <c r="DL163" s="224"/>
      <c r="DM163" s="224"/>
      <c r="DN163" s="224"/>
      <c r="DO163" s="224"/>
      <c r="DP163" s="224"/>
      <c r="DQ163" s="224"/>
      <c r="DR163" s="224"/>
      <c r="DS163" s="224"/>
      <c r="DT163" s="224"/>
      <c r="DU163" s="224"/>
      <c r="DV163" s="224"/>
      <c r="DW163" s="224"/>
      <c r="DX163" s="224"/>
      <c r="DY163" s="224"/>
      <c r="DZ163" s="224"/>
      <c r="EA163" s="224"/>
      <c r="EB163" s="224"/>
      <c r="EC163" s="224"/>
      <c r="ED163" s="224"/>
      <c r="EE163" s="224"/>
      <c r="EF163" s="224"/>
      <c r="EG163" s="224"/>
      <c r="EH163" s="224"/>
      <c r="EI163" s="224"/>
      <c r="EJ163" s="224"/>
      <c r="EK163" s="224"/>
      <c r="EL163" s="224"/>
      <c r="EM163" s="224"/>
      <c r="EN163" s="224"/>
      <c r="EO163" s="224"/>
      <c r="EP163" s="224"/>
      <c r="EQ163" s="224"/>
      <c r="ER163" s="224"/>
      <c r="ES163" s="224"/>
      <c r="ET163" s="224"/>
      <c r="EU163" s="224"/>
      <c r="EV163" s="224"/>
      <c r="EW163" s="224"/>
      <c r="EX163" s="224"/>
      <c r="EY163" s="224"/>
      <c r="EZ163" s="224"/>
      <c r="FA163" s="224"/>
      <c r="FB163" s="224"/>
      <c r="FC163" s="224"/>
      <c r="FD163" s="224"/>
      <c r="FE163" s="224"/>
      <c r="FF163" s="224"/>
      <c r="FG163" s="224"/>
      <c r="FH163" s="224"/>
      <c r="FI163" s="224"/>
      <c r="FJ163" s="224"/>
      <c r="FK163" s="224"/>
      <c r="FL163" s="224"/>
      <c r="FM163" s="224"/>
      <c r="FN163" s="224"/>
      <c r="FO163" s="224"/>
      <c r="FP163" s="224"/>
      <c r="FQ163" s="224"/>
      <c r="FR163" s="224"/>
      <c r="FS163" s="224"/>
      <c r="FT163" s="224"/>
      <c r="FU163" s="224"/>
      <c r="FV163" s="224"/>
      <c r="FW163" s="224"/>
      <c r="FX163" s="224"/>
      <c r="FY163" s="224"/>
      <c r="FZ163" s="224"/>
      <c r="GA163" s="224"/>
      <c r="GB163" s="224"/>
      <c r="GC163" s="224"/>
      <c r="GD163" s="224"/>
      <c r="GE163" s="224"/>
      <c r="GF163" s="224"/>
      <c r="GG163" s="224"/>
      <c r="GH163" s="224"/>
      <c r="GI163" s="224"/>
      <c r="GJ163" s="224"/>
      <c r="GK163" s="224"/>
      <c r="GL163" s="224"/>
      <c r="GM163" s="224"/>
      <c r="GN163" s="224"/>
      <c r="GO163" s="224"/>
      <c r="GP163" s="224"/>
      <c r="GQ163" s="224"/>
      <c r="GR163" s="224"/>
      <c r="GS163" s="224"/>
      <c r="GT163" s="224"/>
      <c r="GU163" s="224"/>
      <c r="GV163" s="224"/>
      <c r="GW163" s="224"/>
      <c r="GX163" s="224"/>
      <c r="GY163" s="224"/>
      <c r="GZ163" s="224"/>
      <c r="HA163" s="224"/>
      <c r="HB163" s="224"/>
      <c r="HC163" s="224"/>
      <c r="HD163" s="224"/>
      <c r="HE163" s="224"/>
      <c r="HF163" s="224"/>
      <c r="HG163" s="224"/>
      <c r="HH163" s="224"/>
      <c r="HI163" s="224"/>
      <c r="HJ163" s="224"/>
      <c r="HK163" s="224"/>
      <c r="HL163" s="224"/>
      <c r="HM163" s="265"/>
      <c r="HN163" s="235"/>
      <c r="HO163" s="235"/>
      <c r="HP163" s="235"/>
      <c r="HQ163" s="235"/>
    </row>
    <row r="164" spans="2:225" hidden="1" outlineLevel="1">
      <c r="B164" s="275"/>
      <c r="C164" s="258" t="s">
        <v>116</v>
      </c>
      <c r="D164" s="236" t="s">
        <v>3253</v>
      </c>
      <c r="E164" s="237"/>
      <c r="F164" s="284" t="s">
        <v>540</v>
      </c>
      <c r="G164" s="287"/>
      <c r="H164" s="231"/>
      <c r="I164" s="239"/>
      <c r="J164" s="240" t="s">
        <v>890</v>
      </c>
      <c r="K164" s="240"/>
      <c r="L164" s="240"/>
      <c r="M164" s="240"/>
      <c r="N164" s="240"/>
      <c r="O164" s="240"/>
      <c r="P164" s="240"/>
      <c r="Q164" s="240"/>
      <c r="R164" s="240"/>
      <c r="S164" s="240"/>
      <c r="T164" s="240" t="s">
        <v>890</v>
      </c>
      <c r="U164" s="240"/>
      <c r="V164" s="240"/>
      <c r="W164" s="240"/>
      <c r="X164" s="231"/>
      <c r="Y164" s="240"/>
      <c r="Z164" s="240"/>
      <c r="AA164" s="240"/>
      <c r="AB164" s="240"/>
      <c r="AC164" s="240"/>
      <c r="AD164" s="240"/>
      <c r="AE164" s="240"/>
      <c r="AF164" s="240"/>
      <c r="AG164" s="240"/>
      <c r="AH164" s="231"/>
      <c r="AI164" s="240"/>
      <c r="AJ164" s="240"/>
      <c r="AK164" s="240"/>
      <c r="AL164" s="240"/>
      <c r="AM164" s="231"/>
      <c r="AN164" s="240"/>
      <c r="AO164" s="240"/>
      <c r="AP164" s="240"/>
      <c r="AQ164" s="231"/>
      <c r="AR164" s="240"/>
      <c r="AS164" s="240"/>
      <c r="AT164" s="240"/>
      <c r="AU164" s="240"/>
      <c r="AV164" s="240"/>
      <c r="AW164" s="240"/>
      <c r="AX164" s="240"/>
      <c r="AY164" s="240"/>
      <c r="AZ164" s="231"/>
      <c r="BA164" s="240"/>
      <c r="BB164" s="240"/>
      <c r="BC164" s="240"/>
      <c r="BD164" s="240"/>
      <c r="BE164" s="240"/>
      <c r="BF164" s="240"/>
      <c r="BG164" s="240"/>
      <c r="BH164" s="240"/>
      <c r="BI164" s="240"/>
      <c r="BJ164" s="240"/>
      <c r="BK164" s="240"/>
      <c r="BL164" s="240"/>
      <c r="BM164" s="240"/>
      <c r="BN164" s="240"/>
      <c r="BO164" s="240"/>
      <c r="BP164" s="231"/>
      <c r="BQ164" s="240"/>
      <c r="BR164" s="240"/>
      <c r="BS164" s="240"/>
      <c r="BT164" s="240"/>
      <c r="BU164" s="240"/>
      <c r="BV164" s="240"/>
      <c r="BW164" s="240"/>
      <c r="BX164" s="240"/>
      <c r="BY164" s="240"/>
      <c r="BZ164" s="240"/>
      <c r="CA164" s="240"/>
      <c r="CB164" s="240"/>
      <c r="CC164" s="240"/>
      <c r="CD164" s="240"/>
      <c r="CE164" s="240"/>
      <c r="CF164" s="231"/>
      <c r="CG164" s="240"/>
      <c r="CH164" s="240"/>
      <c r="CI164" s="240"/>
      <c r="CJ164" s="240"/>
      <c r="CK164" s="240"/>
      <c r="CL164" s="240"/>
      <c r="CM164" s="240"/>
      <c r="CN164" s="240"/>
      <c r="CO164" s="240"/>
      <c r="CP164" s="240"/>
      <c r="CQ164" s="240"/>
      <c r="CR164" s="240"/>
      <c r="CS164" s="231"/>
      <c r="CT164" s="240"/>
      <c r="CU164" s="240"/>
      <c r="CV164" s="240"/>
      <c r="CW164" s="240"/>
      <c r="CX164" s="240"/>
      <c r="CY164" s="240"/>
      <c r="CZ164" s="240"/>
      <c r="DA164" s="240"/>
      <c r="DB164" s="240"/>
      <c r="DC164" s="240"/>
      <c r="DD164" s="240"/>
      <c r="DE164" s="240"/>
      <c r="DF164" s="231"/>
      <c r="DG164" s="240"/>
      <c r="DH164" s="240"/>
      <c r="DI164" s="240"/>
      <c r="DJ164" s="240"/>
      <c r="DK164" s="240"/>
      <c r="DL164" s="240"/>
      <c r="DM164" s="240"/>
      <c r="DN164" s="240"/>
      <c r="DO164" s="240"/>
      <c r="DP164" s="240"/>
      <c r="DQ164" s="240"/>
      <c r="DR164" s="231"/>
      <c r="DS164" s="240"/>
      <c r="DT164" s="240"/>
      <c r="DU164" s="240"/>
      <c r="DV164" s="231"/>
      <c r="DW164" s="240"/>
      <c r="DX164" s="240"/>
      <c r="DY164" s="240"/>
      <c r="DZ164" s="240"/>
      <c r="EA164" s="240"/>
      <c r="EB164" s="240"/>
      <c r="EC164" s="240"/>
      <c r="ED164" s="240"/>
      <c r="EE164" s="240"/>
      <c r="EF164" s="231"/>
      <c r="EG164" s="240"/>
      <c r="EH164" s="240"/>
      <c r="EI164" s="240"/>
      <c r="EJ164" s="231"/>
      <c r="EK164" s="240"/>
      <c r="EL164" s="231"/>
      <c r="EM164" s="240"/>
      <c r="EN164" s="240"/>
      <c r="EO164" s="240"/>
      <c r="EP164" s="240"/>
      <c r="EQ164" s="240" t="s">
        <v>890</v>
      </c>
      <c r="ER164" s="240"/>
      <c r="ES164" s="240"/>
      <c r="ET164" s="240"/>
      <c r="EU164" s="240"/>
      <c r="EV164" s="240" t="s">
        <v>890</v>
      </c>
      <c r="EW164" s="240"/>
      <c r="EX164" s="231"/>
      <c r="EY164" s="240"/>
      <c r="EZ164" s="240"/>
      <c r="FA164" s="240"/>
      <c r="FB164" s="240"/>
      <c r="FC164" s="240"/>
      <c r="FD164" s="240"/>
      <c r="FE164" s="240"/>
      <c r="FF164" s="240"/>
      <c r="FG164" s="240"/>
      <c r="FH164" s="240"/>
      <c r="FI164" s="240"/>
      <c r="FJ164" s="240"/>
      <c r="FK164" s="240"/>
      <c r="FL164" s="240"/>
      <c r="FM164" s="240"/>
      <c r="FN164" s="240"/>
      <c r="FO164" s="231"/>
      <c r="FP164" s="240"/>
      <c r="FQ164" s="240"/>
      <c r="FR164" s="240"/>
      <c r="FS164" s="240"/>
      <c r="FT164" s="240"/>
      <c r="FU164" s="240"/>
      <c r="FV164" s="240"/>
      <c r="FW164" s="240"/>
      <c r="FX164" s="240"/>
      <c r="FY164" s="240"/>
      <c r="FZ164" s="231"/>
      <c r="GA164" s="240"/>
      <c r="GB164" s="240"/>
      <c r="GC164" s="231"/>
      <c r="GD164" s="240"/>
      <c r="GE164" s="240"/>
      <c r="GF164" s="240"/>
      <c r="GG164" s="240"/>
      <c r="GH164" s="231"/>
      <c r="GI164" s="240"/>
      <c r="GJ164" s="240"/>
      <c r="GK164" s="240"/>
      <c r="GL164" s="240"/>
      <c r="GM164" s="231"/>
      <c r="GN164" s="240"/>
      <c r="GO164" s="240"/>
      <c r="GP164" s="240"/>
      <c r="GQ164" s="240"/>
      <c r="GR164" s="240"/>
      <c r="GS164" s="240"/>
      <c r="GT164" s="240"/>
      <c r="GU164" s="240"/>
      <c r="GV164" s="240"/>
      <c r="GW164" s="240"/>
      <c r="GX164" s="240"/>
      <c r="GY164" s="240"/>
      <c r="GZ164" s="240"/>
      <c r="HA164" s="240"/>
      <c r="HB164" s="240"/>
      <c r="HC164" s="240"/>
      <c r="HD164" s="231"/>
      <c r="HE164" s="240"/>
      <c r="HF164" s="240"/>
      <c r="HG164" s="240"/>
      <c r="HH164" s="240"/>
      <c r="HI164" s="240"/>
      <c r="HJ164" s="231"/>
      <c r="HK164" s="240"/>
      <c r="HL164" s="231"/>
      <c r="HM164" s="241"/>
      <c r="HN164" s="235"/>
      <c r="HO164" s="235"/>
      <c r="HP164" s="235"/>
      <c r="HQ164" s="235"/>
    </row>
    <row r="165" spans="2:225" hidden="1" outlineLevel="1">
      <c r="B165" s="275"/>
      <c r="C165" s="258" t="s">
        <v>116</v>
      </c>
      <c r="D165" s="236" t="s">
        <v>3254</v>
      </c>
      <c r="E165" s="248" t="s">
        <v>3001</v>
      </c>
      <c r="F165" s="284" t="str">
        <f>IF(E165="Criterion 4.2 not used","","Submittals, Products")</f>
        <v>Submittals, Products</v>
      </c>
      <c r="G165" s="268"/>
      <c r="H165" s="238"/>
      <c r="I165" s="239" t="s">
        <v>890</v>
      </c>
      <c r="J165" s="240"/>
      <c r="K165" s="240"/>
      <c r="L165" s="240"/>
      <c r="M165" s="240"/>
      <c r="N165" s="240"/>
      <c r="O165" s="240"/>
      <c r="P165" s="240"/>
      <c r="Q165" s="240"/>
      <c r="R165" s="240"/>
      <c r="S165" s="240"/>
      <c r="T165" s="240" t="s">
        <v>890</v>
      </c>
      <c r="U165" s="240"/>
      <c r="V165" s="240"/>
      <c r="W165" s="240"/>
      <c r="X165" s="238"/>
      <c r="Y165" s="240"/>
      <c r="Z165" s="240"/>
      <c r="AA165" s="240"/>
      <c r="AB165" s="240"/>
      <c r="AC165" s="240"/>
      <c r="AD165" s="240"/>
      <c r="AE165" s="240"/>
      <c r="AF165" s="240"/>
      <c r="AG165" s="240"/>
      <c r="AH165" s="238"/>
      <c r="AI165" s="240"/>
      <c r="AJ165" s="240"/>
      <c r="AK165" s="240"/>
      <c r="AL165" s="240"/>
      <c r="AM165" s="238"/>
      <c r="AN165" s="240"/>
      <c r="AO165" s="240"/>
      <c r="AP165" s="240"/>
      <c r="AQ165" s="238"/>
      <c r="AR165" s="240"/>
      <c r="AS165" s="240"/>
      <c r="AT165" s="240"/>
      <c r="AU165" s="240"/>
      <c r="AV165" s="240"/>
      <c r="AW165" s="240"/>
      <c r="AX165" s="240"/>
      <c r="AY165" s="240"/>
      <c r="AZ165" s="238"/>
      <c r="BA165" s="240"/>
      <c r="BB165" s="240"/>
      <c r="BC165" s="240"/>
      <c r="BD165" s="240"/>
      <c r="BE165" s="240"/>
      <c r="BF165" s="240"/>
      <c r="BG165" s="240"/>
      <c r="BH165" s="240"/>
      <c r="BI165" s="240"/>
      <c r="BJ165" s="240"/>
      <c r="BK165" s="240"/>
      <c r="BL165" s="240"/>
      <c r="BM165" s="240"/>
      <c r="BN165" s="240"/>
      <c r="BO165" s="240"/>
      <c r="BP165" s="238"/>
      <c r="BQ165" s="240"/>
      <c r="BR165" s="240"/>
      <c r="BS165" s="240"/>
      <c r="BT165" s="240"/>
      <c r="BU165" s="240"/>
      <c r="BV165" s="240"/>
      <c r="BW165" s="240"/>
      <c r="BX165" s="240"/>
      <c r="BY165" s="240"/>
      <c r="BZ165" s="240"/>
      <c r="CA165" s="240"/>
      <c r="CB165" s="240"/>
      <c r="CC165" s="240"/>
      <c r="CD165" s="240"/>
      <c r="CE165" s="240"/>
      <c r="CF165" s="238"/>
      <c r="CG165" s="240"/>
      <c r="CH165" s="240"/>
      <c r="CI165" s="240"/>
      <c r="CJ165" s="240"/>
      <c r="CK165" s="240"/>
      <c r="CL165" s="240"/>
      <c r="CM165" s="240"/>
      <c r="CN165" s="240"/>
      <c r="CO165" s="240"/>
      <c r="CP165" s="240"/>
      <c r="CQ165" s="240"/>
      <c r="CR165" s="240"/>
      <c r="CS165" s="238"/>
      <c r="CT165" s="240"/>
      <c r="CU165" s="240"/>
      <c r="CV165" s="240"/>
      <c r="CW165" s="240"/>
      <c r="CX165" s="240"/>
      <c r="CY165" s="240"/>
      <c r="CZ165" s="240"/>
      <c r="DA165" s="240"/>
      <c r="DB165" s="240"/>
      <c r="DC165" s="240"/>
      <c r="DD165" s="240"/>
      <c r="DE165" s="240"/>
      <c r="DF165" s="238"/>
      <c r="DG165" s="240"/>
      <c r="DH165" s="240"/>
      <c r="DI165" s="240"/>
      <c r="DJ165" s="240"/>
      <c r="DK165" s="240"/>
      <c r="DL165" s="240"/>
      <c r="DM165" s="240"/>
      <c r="DN165" s="240"/>
      <c r="DO165" s="240"/>
      <c r="DP165" s="240"/>
      <c r="DQ165" s="240"/>
      <c r="DR165" s="238"/>
      <c r="DS165" s="240"/>
      <c r="DT165" s="240"/>
      <c r="DU165" s="240"/>
      <c r="DV165" s="238"/>
      <c r="DW165" s="240"/>
      <c r="DX165" s="240"/>
      <c r="DY165" s="240"/>
      <c r="DZ165" s="240"/>
      <c r="EA165" s="240"/>
      <c r="EB165" s="240"/>
      <c r="EC165" s="240"/>
      <c r="ED165" s="240"/>
      <c r="EE165" s="240"/>
      <c r="EF165" s="238"/>
      <c r="EG165" s="240"/>
      <c r="EH165" s="240"/>
      <c r="EI165" s="240"/>
      <c r="EJ165" s="238"/>
      <c r="EK165" s="240"/>
      <c r="EL165" s="238"/>
      <c r="EM165" s="240"/>
      <c r="EN165" s="240"/>
      <c r="EO165" s="240"/>
      <c r="EP165" s="240"/>
      <c r="EQ165" s="240" t="s">
        <v>890</v>
      </c>
      <c r="ER165" s="240"/>
      <c r="ES165" s="240"/>
      <c r="ET165" s="240"/>
      <c r="EU165" s="240"/>
      <c r="EV165" s="240" t="s">
        <v>890</v>
      </c>
      <c r="EW165" s="240"/>
      <c r="EX165" s="238"/>
      <c r="EY165" s="240"/>
      <c r="EZ165" s="240"/>
      <c r="FA165" s="240"/>
      <c r="FB165" s="240"/>
      <c r="FC165" s="240"/>
      <c r="FD165" s="240"/>
      <c r="FE165" s="240"/>
      <c r="FF165" s="240"/>
      <c r="FG165" s="240"/>
      <c r="FH165" s="240"/>
      <c r="FI165" s="240"/>
      <c r="FJ165" s="240"/>
      <c r="FK165" s="240"/>
      <c r="FL165" s="240"/>
      <c r="FM165" s="240"/>
      <c r="FN165" s="240"/>
      <c r="FO165" s="238"/>
      <c r="FP165" s="240"/>
      <c r="FQ165" s="240"/>
      <c r="FR165" s="240"/>
      <c r="FS165" s="240"/>
      <c r="FT165" s="240"/>
      <c r="FU165" s="240"/>
      <c r="FV165" s="240"/>
      <c r="FW165" s="240"/>
      <c r="FX165" s="240"/>
      <c r="FY165" s="240"/>
      <c r="FZ165" s="238"/>
      <c r="GA165" s="240"/>
      <c r="GB165" s="240"/>
      <c r="GC165" s="238"/>
      <c r="GD165" s="240"/>
      <c r="GE165" s="240"/>
      <c r="GF165" s="240"/>
      <c r="GG165" s="240"/>
      <c r="GH165" s="238"/>
      <c r="GI165" s="240"/>
      <c r="GJ165" s="240"/>
      <c r="GK165" s="240"/>
      <c r="GL165" s="240"/>
      <c r="GM165" s="238"/>
      <c r="GN165" s="240"/>
      <c r="GO165" s="240"/>
      <c r="GP165" s="240"/>
      <c r="GQ165" s="240"/>
      <c r="GR165" s="240"/>
      <c r="GS165" s="240"/>
      <c r="GT165" s="240"/>
      <c r="GU165" s="240"/>
      <c r="GV165" s="240"/>
      <c r="GW165" s="240"/>
      <c r="GX165" s="240"/>
      <c r="GY165" s="240"/>
      <c r="GZ165" s="240"/>
      <c r="HA165" s="240"/>
      <c r="HB165" s="240"/>
      <c r="HC165" s="240"/>
      <c r="HD165" s="238"/>
      <c r="HE165" s="240"/>
      <c r="HF165" s="240"/>
      <c r="HG165" s="240"/>
      <c r="HH165" s="240"/>
      <c r="HI165" s="240"/>
      <c r="HJ165" s="238"/>
      <c r="HK165" s="240"/>
      <c r="HL165" s="238"/>
      <c r="HM165" s="241"/>
      <c r="HN165" s="235"/>
      <c r="HO165" s="235"/>
      <c r="HP165" s="235"/>
      <c r="HQ165" s="235"/>
    </row>
    <row r="166" spans="2:225" hidden="1" outlineLevel="1">
      <c r="B166" s="251" t="s">
        <v>365</v>
      </c>
      <c r="C166" s="252" t="str">
        <f>IF(OR(D5='3. Dropdowns'!C7,D5='3. Dropdowns'!C9,D6='3. Dropdowns'!C16),"Hide","Show")</f>
        <v>Show</v>
      </c>
      <c r="D166" s="236" t="s">
        <v>3255</v>
      </c>
      <c r="E166" s="237"/>
      <c r="F166" s="284" t="s">
        <v>540</v>
      </c>
      <c r="G166" s="268"/>
      <c r="H166" s="238"/>
      <c r="I166" s="239"/>
      <c r="J166" s="240"/>
      <c r="K166" s="240"/>
      <c r="L166" s="240"/>
      <c r="M166" s="240"/>
      <c r="N166" s="240"/>
      <c r="O166" s="240"/>
      <c r="P166" s="240"/>
      <c r="Q166" s="240"/>
      <c r="R166" s="240"/>
      <c r="S166" s="240"/>
      <c r="T166" s="240" t="s">
        <v>890</v>
      </c>
      <c r="U166" s="240"/>
      <c r="V166" s="240"/>
      <c r="W166" s="240"/>
      <c r="X166" s="238"/>
      <c r="Y166" s="240"/>
      <c r="Z166" s="240"/>
      <c r="AA166" s="240"/>
      <c r="AB166" s="240"/>
      <c r="AC166" s="240"/>
      <c r="AD166" s="240"/>
      <c r="AE166" s="240"/>
      <c r="AF166" s="240"/>
      <c r="AG166" s="240"/>
      <c r="AH166" s="238"/>
      <c r="AI166" s="240"/>
      <c r="AJ166" s="240"/>
      <c r="AK166" s="240"/>
      <c r="AL166" s="240"/>
      <c r="AM166" s="238"/>
      <c r="AN166" s="240"/>
      <c r="AO166" s="240"/>
      <c r="AP166" s="240"/>
      <c r="AQ166" s="238"/>
      <c r="AR166" s="240"/>
      <c r="AS166" s="240"/>
      <c r="AT166" s="240"/>
      <c r="AU166" s="240"/>
      <c r="AV166" s="240"/>
      <c r="AW166" s="240"/>
      <c r="AX166" s="240"/>
      <c r="AY166" s="240"/>
      <c r="AZ166" s="238"/>
      <c r="BA166" s="240"/>
      <c r="BB166" s="240"/>
      <c r="BC166" s="240"/>
      <c r="BD166" s="240"/>
      <c r="BE166" s="240"/>
      <c r="BF166" s="240"/>
      <c r="BG166" s="240"/>
      <c r="BH166" s="240"/>
      <c r="BI166" s="240"/>
      <c r="BJ166" s="240"/>
      <c r="BK166" s="240"/>
      <c r="BL166" s="240"/>
      <c r="BM166" s="240"/>
      <c r="BN166" s="240"/>
      <c r="BO166" s="240"/>
      <c r="BP166" s="238"/>
      <c r="BQ166" s="240"/>
      <c r="BR166" s="240"/>
      <c r="BS166" s="240"/>
      <c r="BT166" s="240"/>
      <c r="BU166" s="240"/>
      <c r="BV166" s="240"/>
      <c r="BW166" s="240"/>
      <c r="BX166" s="240"/>
      <c r="BY166" s="240"/>
      <c r="BZ166" s="240"/>
      <c r="CA166" s="240"/>
      <c r="CB166" s="240"/>
      <c r="CC166" s="240"/>
      <c r="CD166" s="240"/>
      <c r="CE166" s="240"/>
      <c r="CF166" s="238"/>
      <c r="CG166" s="240"/>
      <c r="CH166" s="240"/>
      <c r="CI166" s="240"/>
      <c r="CJ166" s="240"/>
      <c r="CK166" s="240"/>
      <c r="CL166" s="240"/>
      <c r="CM166" s="240"/>
      <c r="CN166" s="240"/>
      <c r="CO166" s="240"/>
      <c r="CP166" s="240"/>
      <c r="CQ166" s="240"/>
      <c r="CR166" s="240"/>
      <c r="CS166" s="238"/>
      <c r="CT166" s="240"/>
      <c r="CU166" s="240"/>
      <c r="CV166" s="240"/>
      <c r="CW166" s="240"/>
      <c r="CX166" s="240"/>
      <c r="CY166" s="240"/>
      <c r="CZ166" s="240"/>
      <c r="DA166" s="240"/>
      <c r="DB166" s="240"/>
      <c r="DC166" s="240"/>
      <c r="DD166" s="240"/>
      <c r="DE166" s="240"/>
      <c r="DF166" s="238"/>
      <c r="DG166" s="240"/>
      <c r="DH166" s="240"/>
      <c r="DI166" s="240"/>
      <c r="DJ166" s="240"/>
      <c r="DK166" s="240"/>
      <c r="DL166" s="240"/>
      <c r="DM166" s="240"/>
      <c r="DN166" s="240"/>
      <c r="DO166" s="240"/>
      <c r="DP166" s="240"/>
      <c r="DQ166" s="240"/>
      <c r="DR166" s="238"/>
      <c r="DS166" s="240"/>
      <c r="DT166" s="240"/>
      <c r="DU166" s="240"/>
      <c r="DV166" s="238"/>
      <c r="DW166" s="240"/>
      <c r="DX166" s="240"/>
      <c r="DY166" s="240"/>
      <c r="DZ166" s="240"/>
      <c r="EA166" s="240"/>
      <c r="EB166" s="240"/>
      <c r="EC166" s="240"/>
      <c r="ED166" s="240"/>
      <c r="EE166" s="240"/>
      <c r="EF166" s="238"/>
      <c r="EG166" s="240"/>
      <c r="EH166" s="240"/>
      <c r="EI166" s="240"/>
      <c r="EJ166" s="238"/>
      <c r="EK166" s="240"/>
      <c r="EL166" s="238"/>
      <c r="EM166" s="240"/>
      <c r="EN166" s="240"/>
      <c r="EO166" s="240"/>
      <c r="EP166" s="240"/>
      <c r="EQ166" s="240" t="s">
        <v>890</v>
      </c>
      <c r="ER166" s="240"/>
      <c r="ES166" s="240"/>
      <c r="ET166" s="240"/>
      <c r="EU166" s="240"/>
      <c r="EV166" s="240"/>
      <c r="EW166" s="240"/>
      <c r="EX166" s="238"/>
      <c r="EY166" s="240"/>
      <c r="EZ166" s="240"/>
      <c r="FA166" s="240"/>
      <c r="FB166" s="240"/>
      <c r="FC166" s="240"/>
      <c r="FD166" s="240"/>
      <c r="FE166" s="240"/>
      <c r="FF166" s="240"/>
      <c r="FG166" s="240"/>
      <c r="FH166" s="240"/>
      <c r="FI166" s="240"/>
      <c r="FJ166" s="240"/>
      <c r="FK166" s="240"/>
      <c r="FL166" s="240"/>
      <c r="FM166" s="240"/>
      <c r="FN166" s="240"/>
      <c r="FO166" s="238"/>
      <c r="FP166" s="240"/>
      <c r="FQ166" s="240"/>
      <c r="FR166" s="240"/>
      <c r="FS166" s="240"/>
      <c r="FT166" s="240"/>
      <c r="FU166" s="240"/>
      <c r="FV166" s="240"/>
      <c r="FW166" s="240"/>
      <c r="FX166" s="240"/>
      <c r="FY166" s="240"/>
      <c r="FZ166" s="238"/>
      <c r="GA166" s="240"/>
      <c r="GB166" s="240"/>
      <c r="GC166" s="238"/>
      <c r="GD166" s="240"/>
      <c r="GE166" s="240"/>
      <c r="GF166" s="240"/>
      <c r="GG166" s="240"/>
      <c r="GH166" s="238"/>
      <c r="GI166" s="240"/>
      <c r="GJ166" s="240"/>
      <c r="GK166" s="240"/>
      <c r="GL166" s="240"/>
      <c r="GM166" s="238"/>
      <c r="GN166" s="240"/>
      <c r="GO166" s="240"/>
      <c r="GP166" s="240"/>
      <c r="GQ166" s="240"/>
      <c r="GR166" s="240"/>
      <c r="GS166" s="240"/>
      <c r="GT166" s="240"/>
      <c r="GU166" s="240"/>
      <c r="GV166" s="240"/>
      <c r="GW166" s="240"/>
      <c r="GX166" s="240"/>
      <c r="GY166" s="240"/>
      <c r="GZ166" s="240"/>
      <c r="HA166" s="240"/>
      <c r="HB166" s="240"/>
      <c r="HC166" s="240"/>
      <c r="HD166" s="238"/>
      <c r="HE166" s="240" t="s">
        <v>890</v>
      </c>
      <c r="HF166" s="240" t="s">
        <v>890</v>
      </c>
      <c r="HG166" s="240"/>
      <c r="HH166" s="240"/>
      <c r="HI166" s="240"/>
      <c r="HJ166" s="238"/>
      <c r="HK166" s="240"/>
      <c r="HL166" s="238"/>
      <c r="HM166" s="241"/>
      <c r="HN166" s="235"/>
      <c r="HO166" s="235"/>
      <c r="HP166" s="235"/>
      <c r="HQ166" s="235"/>
    </row>
    <row r="167" spans="2:225" hidden="1" outlineLevel="1">
      <c r="B167" s="251" t="s">
        <v>367</v>
      </c>
      <c r="C167" s="252" t="str">
        <f>IF(OR(D5='3. Dropdowns'!C7,D6='3. Dropdowns'!C14,D6='3. Dropdowns'!C15),"Hide","Show")</f>
        <v>Show</v>
      </c>
      <c r="D167" s="236" t="s">
        <v>3256</v>
      </c>
      <c r="E167" s="248"/>
      <c r="F167" s="284" t="str">
        <f>IF(E167='3. Dropdowns'!C130,"","Submittals, Products, Execution")</f>
        <v>Submittals, Products, Execution</v>
      </c>
      <c r="G167" s="268"/>
      <c r="H167" s="238"/>
      <c r="I167" s="239"/>
      <c r="J167" s="240"/>
      <c r="K167" s="240"/>
      <c r="L167" s="240"/>
      <c r="M167" s="240"/>
      <c r="N167" s="240"/>
      <c r="O167" s="240"/>
      <c r="P167" s="240"/>
      <c r="Q167" s="240"/>
      <c r="R167" s="240"/>
      <c r="S167" s="240"/>
      <c r="T167" s="240" t="s">
        <v>890</v>
      </c>
      <c r="U167" s="240"/>
      <c r="V167" s="240"/>
      <c r="W167" s="240"/>
      <c r="X167" s="238"/>
      <c r="Y167" s="240"/>
      <c r="Z167" s="240"/>
      <c r="AA167" s="240"/>
      <c r="AB167" s="240"/>
      <c r="AC167" s="240"/>
      <c r="AD167" s="240"/>
      <c r="AE167" s="240"/>
      <c r="AF167" s="240"/>
      <c r="AG167" s="240"/>
      <c r="AH167" s="238"/>
      <c r="AI167" s="240"/>
      <c r="AJ167" s="240"/>
      <c r="AK167" s="240"/>
      <c r="AL167" s="240"/>
      <c r="AM167" s="238"/>
      <c r="AN167" s="240"/>
      <c r="AO167" s="240"/>
      <c r="AP167" s="240"/>
      <c r="AQ167" s="238"/>
      <c r="AR167" s="240"/>
      <c r="AS167" s="240"/>
      <c r="AT167" s="240"/>
      <c r="AU167" s="240"/>
      <c r="AV167" s="240"/>
      <c r="AW167" s="240"/>
      <c r="AX167" s="240"/>
      <c r="AY167" s="240"/>
      <c r="AZ167" s="238"/>
      <c r="BA167" s="240"/>
      <c r="BB167" s="240"/>
      <c r="BC167" s="240"/>
      <c r="BD167" s="240"/>
      <c r="BE167" s="240"/>
      <c r="BF167" s="240"/>
      <c r="BG167" s="240"/>
      <c r="BH167" s="240"/>
      <c r="BI167" s="240"/>
      <c r="BJ167" s="240"/>
      <c r="BK167" s="240"/>
      <c r="BL167" s="240"/>
      <c r="BM167" s="240"/>
      <c r="BN167" s="240"/>
      <c r="BO167" s="240"/>
      <c r="BP167" s="238"/>
      <c r="BQ167" s="240"/>
      <c r="BR167" s="240"/>
      <c r="BS167" s="240"/>
      <c r="BT167" s="240"/>
      <c r="BU167" s="240"/>
      <c r="BV167" s="240"/>
      <c r="BW167" s="240"/>
      <c r="BX167" s="240"/>
      <c r="BY167" s="240"/>
      <c r="BZ167" s="240"/>
      <c r="CA167" s="240"/>
      <c r="CB167" s="240"/>
      <c r="CC167" s="240"/>
      <c r="CD167" s="240"/>
      <c r="CE167" s="240"/>
      <c r="CF167" s="238"/>
      <c r="CG167" s="240"/>
      <c r="CH167" s="240"/>
      <c r="CI167" s="240"/>
      <c r="CJ167" s="240"/>
      <c r="CK167" s="240"/>
      <c r="CL167" s="240"/>
      <c r="CM167" s="240"/>
      <c r="CN167" s="240"/>
      <c r="CO167" s="240"/>
      <c r="CP167" s="240"/>
      <c r="CQ167" s="240"/>
      <c r="CR167" s="240"/>
      <c r="CS167" s="238"/>
      <c r="CT167" s="240"/>
      <c r="CU167" s="240"/>
      <c r="CV167" s="240"/>
      <c r="CW167" s="240"/>
      <c r="CX167" s="240"/>
      <c r="CY167" s="240"/>
      <c r="CZ167" s="240"/>
      <c r="DA167" s="240"/>
      <c r="DB167" s="240"/>
      <c r="DC167" s="240"/>
      <c r="DD167" s="240"/>
      <c r="DE167" s="240"/>
      <c r="DF167" s="238"/>
      <c r="DG167" s="240"/>
      <c r="DH167" s="240"/>
      <c r="DI167" s="240"/>
      <c r="DJ167" s="240"/>
      <c r="DK167" s="240"/>
      <c r="DL167" s="240"/>
      <c r="DM167" s="240"/>
      <c r="DN167" s="240"/>
      <c r="DO167" s="240"/>
      <c r="DP167" s="240"/>
      <c r="DQ167" s="240"/>
      <c r="DR167" s="238"/>
      <c r="DS167" s="240"/>
      <c r="DT167" s="240"/>
      <c r="DU167" s="240"/>
      <c r="DV167" s="238"/>
      <c r="DW167" s="240"/>
      <c r="DX167" s="240"/>
      <c r="DY167" s="240"/>
      <c r="DZ167" s="240"/>
      <c r="EA167" s="240"/>
      <c r="EB167" s="240"/>
      <c r="EC167" s="240"/>
      <c r="ED167" s="240"/>
      <c r="EE167" s="240"/>
      <c r="EF167" s="238"/>
      <c r="EG167" s="240"/>
      <c r="EH167" s="240"/>
      <c r="EI167" s="240"/>
      <c r="EJ167" s="238"/>
      <c r="EK167" s="240"/>
      <c r="EL167" s="238"/>
      <c r="EM167" s="240"/>
      <c r="EN167" s="240"/>
      <c r="EO167" s="240"/>
      <c r="EP167" s="240"/>
      <c r="EQ167" s="240" t="s">
        <v>890</v>
      </c>
      <c r="ER167" s="240"/>
      <c r="ES167" s="240"/>
      <c r="ET167" s="240"/>
      <c r="EU167" s="240"/>
      <c r="EV167" s="240"/>
      <c r="EW167" s="240"/>
      <c r="EX167" s="238"/>
      <c r="EY167" s="240"/>
      <c r="EZ167" s="240"/>
      <c r="FA167" s="240"/>
      <c r="FB167" s="240"/>
      <c r="FC167" s="240"/>
      <c r="FD167" s="240"/>
      <c r="FE167" s="240"/>
      <c r="FF167" s="240"/>
      <c r="FG167" s="240"/>
      <c r="FH167" s="240"/>
      <c r="FI167" s="240"/>
      <c r="FJ167" s="240"/>
      <c r="FK167" s="240"/>
      <c r="FL167" s="240"/>
      <c r="FM167" s="240"/>
      <c r="FN167" s="240"/>
      <c r="FO167" s="238"/>
      <c r="FP167" s="240"/>
      <c r="FQ167" s="240"/>
      <c r="FR167" s="240"/>
      <c r="FS167" s="240"/>
      <c r="FT167" s="240"/>
      <c r="FU167" s="240"/>
      <c r="FV167" s="240"/>
      <c r="FW167" s="240"/>
      <c r="FX167" s="240"/>
      <c r="FY167" s="240"/>
      <c r="FZ167" s="238"/>
      <c r="GA167" s="240"/>
      <c r="GB167" s="240"/>
      <c r="GC167" s="238"/>
      <c r="GD167" s="240"/>
      <c r="GE167" s="240"/>
      <c r="GF167" s="240"/>
      <c r="GG167" s="240"/>
      <c r="GH167" s="238"/>
      <c r="GI167" s="240"/>
      <c r="GJ167" s="240"/>
      <c r="GK167" s="240"/>
      <c r="GL167" s="240"/>
      <c r="GM167" s="238"/>
      <c r="GN167" s="240"/>
      <c r="GO167" s="240"/>
      <c r="GP167" s="240"/>
      <c r="GQ167" s="240"/>
      <c r="GR167" s="240"/>
      <c r="GS167" s="240"/>
      <c r="GT167" s="240"/>
      <c r="GU167" s="240"/>
      <c r="GV167" s="240"/>
      <c r="GW167" s="240"/>
      <c r="GX167" s="240"/>
      <c r="GY167" s="240"/>
      <c r="GZ167" s="240"/>
      <c r="HA167" s="240"/>
      <c r="HB167" s="240"/>
      <c r="HC167" s="240"/>
      <c r="HD167" s="238"/>
      <c r="HE167" s="240" t="s">
        <v>890</v>
      </c>
      <c r="HF167" s="240" t="s">
        <v>890</v>
      </c>
      <c r="HG167" s="240"/>
      <c r="HH167" s="240"/>
      <c r="HI167" s="240"/>
      <c r="HJ167" s="238"/>
      <c r="HK167" s="240"/>
      <c r="HL167" s="238"/>
      <c r="HM167" s="241"/>
      <c r="HN167" s="235"/>
      <c r="HO167" s="235"/>
      <c r="HP167" s="235"/>
      <c r="HQ167" s="235"/>
    </row>
    <row r="168" spans="2:225" ht="37.5" hidden="1" outlineLevel="1">
      <c r="B168" s="275"/>
      <c r="C168" s="258" t="s">
        <v>116</v>
      </c>
      <c r="D168" s="236" t="s">
        <v>3257</v>
      </c>
      <c r="E168" s="237"/>
      <c r="F168" s="237"/>
      <c r="G168" s="268"/>
      <c r="H168" s="238"/>
      <c r="I168" s="239"/>
      <c r="J168" s="240"/>
      <c r="K168" s="240"/>
      <c r="L168" s="240"/>
      <c r="M168" s="240"/>
      <c r="N168" s="240"/>
      <c r="O168" s="240"/>
      <c r="P168" s="240"/>
      <c r="Q168" s="240"/>
      <c r="R168" s="240"/>
      <c r="S168" s="240"/>
      <c r="T168" s="240"/>
      <c r="U168" s="240"/>
      <c r="V168" s="240"/>
      <c r="W168" s="240"/>
      <c r="X168" s="238"/>
      <c r="Y168" s="240"/>
      <c r="Z168" s="240"/>
      <c r="AA168" s="240"/>
      <c r="AB168" s="240"/>
      <c r="AC168" s="240"/>
      <c r="AD168" s="240"/>
      <c r="AE168" s="240"/>
      <c r="AF168" s="240"/>
      <c r="AG168" s="240"/>
      <c r="AH168" s="238"/>
      <c r="AI168" s="240"/>
      <c r="AJ168" s="240"/>
      <c r="AK168" s="240"/>
      <c r="AL168" s="240"/>
      <c r="AM168" s="238"/>
      <c r="AN168" s="240"/>
      <c r="AO168" s="240"/>
      <c r="AP168" s="240"/>
      <c r="AQ168" s="238"/>
      <c r="AR168" s="240"/>
      <c r="AS168" s="240"/>
      <c r="AT168" s="240"/>
      <c r="AU168" s="240"/>
      <c r="AV168" s="240"/>
      <c r="AW168" s="240"/>
      <c r="AX168" s="240"/>
      <c r="AY168" s="240"/>
      <c r="AZ168" s="238"/>
      <c r="BA168" s="240"/>
      <c r="BB168" s="240"/>
      <c r="BC168" s="240"/>
      <c r="BD168" s="240"/>
      <c r="BE168" s="240"/>
      <c r="BF168" s="240"/>
      <c r="BG168" s="240"/>
      <c r="BH168" s="240"/>
      <c r="BI168" s="240"/>
      <c r="BJ168" s="240"/>
      <c r="BK168" s="240"/>
      <c r="BL168" s="240"/>
      <c r="BM168" s="240"/>
      <c r="BN168" s="240"/>
      <c r="BO168" s="240"/>
      <c r="BP168" s="238"/>
      <c r="BQ168" s="240"/>
      <c r="BR168" s="240"/>
      <c r="BS168" s="240"/>
      <c r="BT168" s="240"/>
      <c r="BU168" s="240"/>
      <c r="BV168" s="240"/>
      <c r="BW168" s="240"/>
      <c r="BX168" s="240"/>
      <c r="BY168" s="240"/>
      <c r="BZ168" s="240"/>
      <c r="CA168" s="240"/>
      <c r="CB168" s="240"/>
      <c r="CC168" s="240"/>
      <c r="CD168" s="240"/>
      <c r="CE168" s="240"/>
      <c r="CF168" s="238"/>
      <c r="CG168" s="240"/>
      <c r="CH168" s="240"/>
      <c r="CI168" s="240"/>
      <c r="CJ168" s="240"/>
      <c r="CK168" s="240"/>
      <c r="CL168" s="240"/>
      <c r="CM168" s="240"/>
      <c r="CN168" s="240"/>
      <c r="CO168" s="240"/>
      <c r="CP168" s="240"/>
      <c r="CQ168" s="240"/>
      <c r="CR168" s="240"/>
      <c r="CS168" s="238"/>
      <c r="CT168" s="240"/>
      <c r="CU168" s="240"/>
      <c r="CV168" s="240"/>
      <c r="CW168" s="240"/>
      <c r="CX168" s="240"/>
      <c r="CY168" s="240"/>
      <c r="CZ168" s="240"/>
      <c r="DA168" s="240"/>
      <c r="DB168" s="240"/>
      <c r="DC168" s="240"/>
      <c r="DD168" s="240"/>
      <c r="DE168" s="240"/>
      <c r="DF168" s="238"/>
      <c r="DG168" s="240"/>
      <c r="DH168" s="240"/>
      <c r="DI168" s="240"/>
      <c r="DJ168" s="240"/>
      <c r="DK168" s="240"/>
      <c r="DL168" s="240"/>
      <c r="DM168" s="240"/>
      <c r="DN168" s="240"/>
      <c r="DO168" s="240"/>
      <c r="DP168" s="240"/>
      <c r="DQ168" s="240"/>
      <c r="DR168" s="238"/>
      <c r="DS168" s="240"/>
      <c r="DT168" s="240"/>
      <c r="DU168" s="240"/>
      <c r="DV168" s="238"/>
      <c r="DW168" s="240"/>
      <c r="DX168" s="240"/>
      <c r="DY168" s="240"/>
      <c r="DZ168" s="240"/>
      <c r="EA168" s="240"/>
      <c r="EB168" s="240"/>
      <c r="EC168" s="240"/>
      <c r="ED168" s="240"/>
      <c r="EE168" s="240"/>
      <c r="EF168" s="238"/>
      <c r="EG168" s="240"/>
      <c r="EH168" s="240"/>
      <c r="EI168" s="240"/>
      <c r="EJ168" s="238"/>
      <c r="EK168" s="240"/>
      <c r="EL168" s="238"/>
      <c r="EM168" s="240"/>
      <c r="EN168" s="240"/>
      <c r="EO168" s="240"/>
      <c r="EP168" s="240"/>
      <c r="EQ168" s="240"/>
      <c r="ER168" s="240"/>
      <c r="ES168" s="240"/>
      <c r="ET168" s="240"/>
      <c r="EU168" s="240"/>
      <c r="EV168" s="240"/>
      <c r="EW168" s="240"/>
      <c r="EX168" s="238"/>
      <c r="EY168" s="240"/>
      <c r="EZ168" s="240"/>
      <c r="FA168" s="240"/>
      <c r="FB168" s="240"/>
      <c r="FC168" s="240"/>
      <c r="FD168" s="240"/>
      <c r="FE168" s="240"/>
      <c r="FF168" s="240"/>
      <c r="FG168" s="240"/>
      <c r="FH168" s="240"/>
      <c r="FI168" s="240"/>
      <c r="FJ168" s="240"/>
      <c r="FK168" s="240"/>
      <c r="FL168" s="240"/>
      <c r="FM168" s="240"/>
      <c r="FN168" s="240"/>
      <c r="FO168" s="238"/>
      <c r="FP168" s="240"/>
      <c r="FQ168" s="240"/>
      <c r="FR168" s="240"/>
      <c r="FS168" s="240"/>
      <c r="FT168" s="240"/>
      <c r="FU168" s="240"/>
      <c r="FV168" s="240"/>
      <c r="FW168" s="240"/>
      <c r="FX168" s="240"/>
      <c r="FY168" s="240"/>
      <c r="FZ168" s="238"/>
      <c r="GA168" s="240"/>
      <c r="GB168" s="240"/>
      <c r="GC168" s="238"/>
      <c r="GD168" s="240"/>
      <c r="GE168" s="240"/>
      <c r="GF168" s="240"/>
      <c r="GG168" s="240"/>
      <c r="GH168" s="238"/>
      <c r="GI168" s="240"/>
      <c r="GJ168" s="240"/>
      <c r="GK168" s="240"/>
      <c r="GL168" s="240"/>
      <c r="GM168" s="238"/>
      <c r="GN168" s="240"/>
      <c r="GO168" s="240"/>
      <c r="GP168" s="240"/>
      <c r="GQ168" s="240"/>
      <c r="GR168" s="240"/>
      <c r="GS168" s="240"/>
      <c r="GT168" s="240"/>
      <c r="GU168" s="240"/>
      <c r="GV168" s="240"/>
      <c r="GW168" s="240"/>
      <c r="GX168" s="240"/>
      <c r="GY168" s="240"/>
      <c r="GZ168" s="240"/>
      <c r="HA168" s="240"/>
      <c r="HB168" s="240"/>
      <c r="HC168" s="240"/>
      <c r="HD168" s="238"/>
      <c r="HE168" s="240"/>
      <c r="HF168" s="240"/>
      <c r="HG168" s="240"/>
      <c r="HH168" s="240"/>
      <c r="HI168" s="240"/>
      <c r="HJ168" s="238"/>
      <c r="HK168" s="240"/>
      <c r="HL168" s="238"/>
      <c r="HM168" s="241"/>
      <c r="HN168" s="235"/>
      <c r="HO168" s="235"/>
      <c r="HP168" s="235"/>
      <c r="HQ168" s="235"/>
    </row>
    <row r="169" spans="2:225" ht="37.5" hidden="1" outlineLevel="1">
      <c r="B169" s="275"/>
      <c r="C169" s="258" t="s">
        <v>116</v>
      </c>
      <c r="D169" s="236" t="s">
        <v>3258</v>
      </c>
      <c r="E169" s="248"/>
      <c r="F169" s="284" t="str">
        <f>IF(E169='3. Dropdowns'!C132,"","Submittals, Products, Execution")</f>
        <v>Submittals, Products, Execution</v>
      </c>
      <c r="G169" s="268"/>
      <c r="H169" s="238"/>
      <c r="I169" s="239" t="s">
        <v>890</v>
      </c>
      <c r="J169" s="240" t="s">
        <v>890</v>
      </c>
      <c r="K169" s="240"/>
      <c r="L169" s="240"/>
      <c r="M169" s="240" t="s">
        <v>890</v>
      </c>
      <c r="N169" s="240"/>
      <c r="O169" s="240"/>
      <c r="P169" s="240"/>
      <c r="Q169" s="240"/>
      <c r="R169" s="240"/>
      <c r="S169" s="240"/>
      <c r="T169" s="240" t="s">
        <v>890</v>
      </c>
      <c r="U169" s="240"/>
      <c r="V169" s="240"/>
      <c r="W169" s="240"/>
      <c r="X169" s="238"/>
      <c r="Y169" s="240"/>
      <c r="Z169" s="240"/>
      <c r="AA169" s="240"/>
      <c r="AB169" s="240"/>
      <c r="AC169" s="240"/>
      <c r="AD169" s="240"/>
      <c r="AE169" s="240"/>
      <c r="AF169" s="240"/>
      <c r="AG169" s="240"/>
      <c r="AH169" s="238"/>
      <c r="AI169" s="240"/>
      <c r="AJ169" s="240"/>
      <c r="AK169" s="240"/>
      <c r="AL169" s="240"/>
      <c r="AM169" s="238"/>
      <c r="AN169" s="240"/>
      <c r="AO169" s="240"/>
      <c r="AP169" s="240"/>
      <c r="AQ169" s="238"/>
      <c r="AR169" s="240"/>
      <c r="AS169" s="240"/>
      <c r="AT169" s="240"/>
      <c r="AU169" s="240"/>
      <c r="AV169" s="240"/>
      <c r="AW169" s="240"/>
      <c r="AX169" s="240"/>
      <c r="AY169" s="240"/>
      <c r="AZ169" s="238"/>
      <c r="BA169" s="240"/>
      <c r="BB169" s="240"/>
      <c r="BC169" s="240"/>
      <c r="BD169" s="240"/>
      <c r="BE169" s="240"/>
      <c r="BF169" s="240"/>
      <c r="BG169" s="240"/>
      <c r="BH169" s="240"/>
      <c r="BI169" s="240"/>
      <c r="BJ169" s="240"/>
      <c r="BK169" s="240"/>
      <c r="BL169" s="240"/>
      <c r="BM169" s="240"/>
      <c r="BN169" s="240"/>
      <c r="BO169" s="240"/>
      <c r="BP169" s="238"/>
      <c r="BQ169" s="240"/>
      <c r="BR169" s="240"/>
      <c r="BS169" s="240"/>
      <c r="BT169" s="240"/>
      <c r="BU169" s="240"/>
      <c r="BV169" s="240"/>
      <c r="BW169" s="240"/>
      <c r="BX169" s="240"/>
      <c r="BY169" s="240"/>
      <c r="BZ169" s="240"/>
      <c r="CA169" s="240"/>
      <c r="CB169" s="240"/>
      <c r="CC169" s="240"/>
      <c r="CD169" s="240"/>
      <c r="CE169" s="240"/>
      <c r="CF169" s="238"/>
      <c r="CG169" s="240"/>
      <c r="CH169" s="240"/>
      <c r="CI169" s="240"/>
      <c r="CJ169" s="240"/>
      <c r="CK169" s="240"/>
      <c r="CL169" s="240"/>
      <c r="CM169" s="240"/>
      <c r="CN169" s="240"/>
      <c r="CO169" s="240"/>
      <c r="CP169" s="240"/>
      <c r="CQ169" s="240"/>
      <c r="CR169" s="240"/>
      <c r="CS169" s="238"/>
      <c r="CT169" s="240"/>
      <c r="CU169" s="240"/>
      <c r="CV169" s="240"/>
      <c r="CW169" s="240"/>
      <c r="CX169" s="240"/>
      <c r="CY169" s="240"/>
      <c r="CZ169" s="240"/>
      <c r="DA169" s="240"/>
      <c r="DB169" s="240"/>
      <c r="DC169" s="240"/>
      <c r="DD169" s="240"/>
      <c r="DE169" s="240"/>
      <c r="DF169" s="238"/>
      <c r="DG169" s="240"/>
      <c r="DH169" s="240"/>
      <c r="DI169" s="240"/>
      <c r="DJ169" s="240"/>
      <c r="DK169" s="240"/>
      <c r="DL169" s="240"/>
      <c r="DM169" s="240"/>
      <c r="DN169" s="240"/>
      <c r="DO169" s="240"/>
      <c r="DP169" s="240"/>
      <c r="DQ169" s="240"/>
      <c r="DR169" s="238"/>
      <c r="DS169" s="240"/>
      <c r="DT169" s="240"/>
      <c r="DU169" s="240"/>
      <c r="DV169" s="238"/>
      <c r="DW169" s="240"/>
      <c r="DX169" s="240"/>
      <c r="DY169" s="240"/>
      <c r="DZ169" s="240"/>
      <c r="EA169" s="240"/>
      <c r="EB169" s="240"/>
      <c r="EC169" s="240"/>
      <c r="ED169" s="240"/>
      <c r="EE169" s="240"/>
      <c r="EF169" s="238"/>
      <c r="EG169" s="240"/>
      <c r="EH169" s="240"/>
      <c r="EI169" s="240"/>
      <c r="EJ169" s="238"/>
      <c r="EK169" s="240"/>
      <c r="EL169" s="238"/>
      <c r="EM169" s="240"/>
      <c r="EN169" s="240"/>
      <c r="EO169" s="240"/>
      <c r="EP169" s="240"/>
      <c r="EQ169" s="240" t="s">
        <v>890</v>
      </c>
      <c r="ER169" s="240"/>
      <c r="ES169" s="240"/>
      <c r="ET169" s="240" t="s">
        <v>890</v>
      </c>
      <c r="EU169" s="240"/>
      <c r="EV169" s="240"/>
      <c r="EW169" s="240" t="s">
        <v>890</v>
      </c>
      <c r="EX169" s="238"/>
      <c r="EY169" s="240"/>
      <c r="EZ169" s="240"/>
      <c r="FA169" s="240"/>
      <c r="FB169" s="240"/>
      <c r="FC169" s="240"/>
      <c r="FD169" s="240"/>
      <c r="FE169" s="240"/>
      <c r="FF169" s="240"/>
      <c r="FG169" s="240"/>
      <c r="FH169" s="240"/>
      <c r="FI169" s="240"/>
      <c r="FJ169" s="240"/>
      <c r="FK169" s="240"/>
      <c r="FL169" s="240"/>
      <c r="FM169" s="240"/>
      <c r="FN169" s="240"/>
      <c r="FO169" s="238"/>
      <c r="FP169" s="240"/>
      <c r="FQ169" s="240"/>
      <c r="FR169" s="240"/>
      <c r="FS169" s="240"/>
      <c r="FT169" s="240"/>
      <c r="FU169" s="240"/>
      <c r="FV169" s="240"/>
      <c r="FW169" s="240"/>
      <c r="FX169" s="240"/>
      <c r="FY169" s="240"/>
      <c r="FZ169" s="238"/>
      <c r="GA169" s="240"/>
      <c r="GB169" s="240"/>
      <c r="GC169" s="238"/>
      <c r="GD169" s="240"/>
      <c r="GE169" s="240"/>
      <c r="GF169" s="240"/>
      <c r="GG169" s="240"/>
      <c r="GH169" s="238"/>
      <c r="GI169" s="240"/>
      <c r="GJ169" s="240"/>
      <c r="GK169" s="240"/>
      <c r="GL169" s="240"/>
      <c r="GM169" s="238"/>
      <c r="GN169" s="240"/>
      <c r="GO169" s="240"/>
      <c r="GP169" s="240"/>
      <c r="GQ169" s="240"/>
      <c r="GR169" s="240"/>
      <c r="GS169" s="240"/>
      <c r="GT169" s="240"/>
      <c r="GU169" s="240"/>
      <c r="GV169" s="240"/>
      <c r="GW169" s="240"/>
      <c r="GX169" s="240"/>
      <c r="GY169" s="240"/>
      <c r="GZ169" s="240"/>
      <c r="HA169" s="240"/>
      <c r="HB169" s="240"/>
      <c r="HC169" s="240"/>
      <c r="HD169" s="238"/>
      <c r="HE169" s="240"/>
      <c r="HF169" s="240"/>
      <c r="HG169" s="240"/>
      <c r="HH169" s="240"/>
      <c r="HI169" s="240"/>
      <c r="HJ169" s="238"/>
      <c r="HK169" s="240"/>
      <c r="HL169" s="238"/>
      <c r="HM169" s="241"/>
      <c r="HN169" s="235"/>
      <c r="HO169" s="235"/>
      <c r="HP169" s="235"/>
      <c r="HQ169" s="235"/>
    </row>
    <row r="170" spans="2:225" hidden="1" outlineLevel="1">
      <c r="B170" s="275"/>
      <c r="C170" s="258" t="s">
        <v>116</v>
      </c>
      <c r="D170" s="236" t="s">
        <v>3259</v>
      </c>
      <c r="E170" s="248"/>
      <c r="F170" s="284" t="str">
        <f>IF(E170='3. Dropdowns'!C139,"","Submittals, Products, Execution")</f>
        <v>Submittals, Products, Execution</v>
      </c>
      <c r="G170" s="268"/>
      <c r="H170" s="238"/>
      <c r="I170" s="239"/>
      <c r="J170" s="240"/>
      <c r="K170" s="240"/>
      <c r="L170" s="240"/>
      <c r="M170" s="240"/>
      <c r="N170" s="240"/>
      <c r="O170" s="240"/>
      <c r="P170" s="240"/>
      <c r="Q170" s="240"/>
      <c r="R170" s="240"/>
      <c r="S170" s="240"/>
      <c r="T170" s="240" t="s">
        <v>890</v>
      </c>
      <c r="U170" s="240"/>
      <c r="V170" s="240"/>
      <c r="W170" s="240"/>
      <c r="X170" s="238"/>
      <c r="Y170" s="240"/>
      <c r="Z170" s="240"/>
      <c r="AA170" s="240"/>
      <c r="AB170" s="240"/>
      <c r="AC170" s="240"/>
      <c r="AD170" s="240"/>
      <c r="AE170" s="240"/>
      <c r="AF170" s="240"/>
      <c r="AG170" s="240"/>
      <c r="AH170" s="238"/>
      <c r="AI170" s="240"/>
      <c r="AJ170" s="240"/>
      <c r="AK170" s="240"/>
      <c r="AL170" s="240"/>
      <c r="AM170" s="238"/>
      <c r="AN170" s="240"/>
      <c r="AO170" s="240"/>
      <c r="AP170" s="240"/>
      <c r="AQ170" s="238"/>
      <c r="AR170" s="240"/>
      <c r="AS170" s="240"/>
      <c r="AT170" s="240"/>
      <c r="AU170" s="240"/>
      <c r="AV170" s="240"/>
      <c r="AW170" s="240"/>
      <c r="AX170" s="240"/>
      <c r="AY170" s="240"/>
      <c r="AZ170" s="238"/>
      <c r="BA170" s="240"/>
      <c r="BB170" s="240"/>
      <c r="BC170" s="240"/>
      <c r="BD170" s="240"/>
      <c r="BE170" s="240"/>
      <c r="BF170" s="240"/>
      <c r="BG170" s="240"/>
      <c r="BH170" s="240"/>
      <c r="BI170" s="240"/>
      <c r="BJ170" s="240"/>
      <c r="BK170" s="240"/>
      <c r="BL170" s="240"/>
      <c r="BM170" s="240"/>
      <c r="BN170" s="240"/>
      <c r="BO170" s="240"/>
      <c r="BP170" s="238"/>
      <c r="BQ170" s="240"/>
      <c r="BR170" s="240"/>
      <c r="BS170" s="240"/>
      <c r="BT170" s="240"/>
      <c r="BU170" s="240"/>
      <c r="BV170" s="240"/>
      <c r="BW170" s="240"/>
      <c r="BX170" s="240"/>
      <c r="BY170" s="240"/>
      <c r="BZ170" s="240"/>
      <c r="CA170" s="240"/>
      <c r="CB170" s="240"/>
      <c r="CC170" s="240"/>
      <c r="CD170" s="240"/>
      <c r="CE170" s="240"/>
      <c r="CF170" s="238"/>
      <c r="CG170" s="240"/>
      <c r="CH170" s="240"/>
      <c r="CI170" s="240"/>
      <c r="CJ170" s="240"/>
      <c r="CK170" s="240"/>
      <c r="CL170" s="240"/>
      <c r="CM170" s="240"/>
      <c r="CN170" s="240"/>
      <c r="CO170" s="240"/>
      <c r="CP170" s="240"/>
      <c r="CQ170" s="240"/>
      <c r="CR170" s="240"/>
      <c r="CS170" s="238"/>
      <c r="CT170" s="240"/>
      <c r="CU170" s="240"/>
      <c r="CV170" s="240"/>
      <c r="CW170" s="240"/>
      <c r="CX170" s="240"/>
      <c r="CY170" s="240"/>
      <c r="CZ170" s="240"/>
      <c r="DA170" s="240"/>
      <c r="DB170" s="240"/>
      <c r="DC170" s="240"/>
      <c r="DD170" s="240"/>
      <c r="DE170" s="240"/>
      <c r="DF170" s="238"/>
      <c r="DG170" s="240"/>
      <c r="DH170" s="240"/>
      <c r="DI170" s="240"/>
      <c r="DJ170" s="240"/>
      <c r="DK170" s="240"/>
      <c r="DL170" s="240"/>
      <c r="DM170" s="240"/>
      <c r="DN170" s="240"/>
      <c r="DO170" s="240"/>
      <c r="DP170" s="240"/>
      <c r="DQ170" s="240"/>
      <c r="DR170" s="238"/>
      <c r="DS170" s="240"/>
      <c r="DT170" s="240"/>
      <c r="DU170" s="240"/>
      <c r="DV170" s="238"/>
      <c r="DW170" s="240"/>
      <c r="DX170" s="240"/>
      <c r="DY170" s="240"/>
      <c r="DZ170" s="240"/>
      <c r="EA170" s="240"/>
      <c r="EB170" s="240"/>
      <c r="EC170" s="240"/>
      <c r="ED170" s="240"/>
      <c r="EE170" s="240"/>
      <c r="EF170" s="238"/>
      <c r="EG170" s="240"/>
      <c r="EH170" s="240"/>
      <c r="EI170" s="240"/>
      <c r="EJ170" s="238"/>
      <c r="EK170" s="240"/>
      <c r="EL170" s="238"/>
      <c r="EM170" s="240"/>
      <c r="EN170" s="240" t="s">
        <v>890</v>
      </c>
      <c r="EO170" s="240"/>
      <c r="EP170" s="240"/>
      <c r="EQ170" s="240"/>
      <c r="ER170" s="240"/>
      <c r="ES170" s="240"/>
      <c r="ET170" s="240"/>
      <c r="EU170" s="240"/>
      <c r="EV170" s="240"/>
      <c r="EW170" s="240"/>
      <c r="EX170" s="238"/>
      <c r="EY170" s="240"/>
      <c r="EZ170" s="240"/>
      <c r="FA170" s="240"/>
      <c r="FB170" s="240"/>
      <c r="FC170" s="240"/>
      <c r="FD170" s="240"/>
      <c r="FE170" s="240"/>
      <c r="FF170" s="240"/>
      <c r="FG170" s="240"/>
      <c r="FH170" s="240"/>
      <c r="FI170" s="240"/>
      <c r="FJ170" s="240"/>
      <c r="FK170" s="240"/>
      <c r="FL170" s="240"/>
      <c r="FM170" s="240"/>
      <c r="FN170" s="240"/>
      <c r="FO170" s="238"/>
      <c r="FP170" s="240"/>
      <c r="FQ170" s="240"/>
      <c r="FR170" s="240"/>
      <c r="FS170" s="240"/>
      <c r="FT170" s="240"/>
      <c r="FU170" s="240"/>
      <c r="FV170" s="240"/>
      <c r="FW170" s="240"/>
      <c r="FX170" s="240"/>
      <c r="FY170" s="240"/>
      <c r="FZ170" s="238"/>
      <c r="GA170" s="240"/>
      <c r="GB170" s="240"/>
      <c r="GC170" s="238"/>
      <c r="GD170" s="240"/>
      <c r="GE170" s="240"/>
      <c r="GF170" s="240"/>
      <c r="GG170" s="240" t="s">
        <v>890</v>
      </c>
      <c r="GH170" s="238"/>
      <c r="GI170" s="240"/>
      <c r="GJ170" s="240"/>
      <c r="GK170" s="240"/>
      <c r="GL170" s="240"/>
      <c r="GM170" s="238"/>
      <c r="GN170" s="240"/>
      <c r="GO170" s="240"/>
      <c r="GP170" s="240"/>
      <c r="GQ170" s="240"/>
      <c r="GR170" s="240"/>
      <c r="GS170" s="240"/>
      <c r="GT170" s="240"/>
      <c r="GU170" s="240"/>
      <c r="GV170" s="240"/>
      <c r="GW170" s="240"/>
      <c r="GX170" s="240"/>
      <c r="GY170" s="240"/>
      <c r="GZ170" s="240"/>
      <c r="HA170" s="240"/>
      <c r="HB170" s="240"/>
      <c r="HC170" s="240"/>
      <c r="HD170" s="238"/>
      <c r="HE170" s="240"/>
      <c r="HF170" s="240"/>
      <c r="HG170" s="240"/>
      <c r="HH170" s="240"/>
      <c r="HI170" s="240"/>
      <c r="HJ170" s="238"/>
      <c r="HK170" s="240"/>
      <c r="HL170" s="238"/>
      <c r="HM170" s="241"/>
      <c r="HN170" s="235"/>
      <c r="HO170" s="235"/>
      <c r="HP170" s="235"/>
      <c r="HQ170" s="235"/>
    </row>
    <row r="171" spans="2:225" ht="37.5" hidden="1" outlineLevel="2">
      <c r="B171" s="251" t="s">
        <v>414</v>
      </c>
      <c r="C171" s="288" t="str">
        <f>IF(D5='3. Dropdowns'!C7,"Hide",IF(E170='3. Dropdowns'!C139,"Hide",IF(E170='3. Dropdowns'!C140,"Hide",IF(E170='3. Dropdowns'!C142,"Hide",IF(E170='3. Dropdowns'!C144,"Hide","Show")))))</f>
        <v>Show</v>
      </c>
      <c r="D171" s="236" t="s">
        <v>3260</v>
      </c>
      <c r="E171" s="248"/>
      <c r="F171" s="284" t="s">
        <v>539</v>
      </c>
      <c r="G171" s="268"/>
      <c r="H171" s="238"/>
      <c r="I171" s="239"/>
      <c r="J171" s="240"/>
      <c r="K171" s="240"/>
      <c r="L171" s="240"/>
      <c r="M171" s="240"/>
      <c r="N171" s="240"/>
      <c r="O171" s="240"/>
      <c r="P171" s="240"/>
      <c r="Q171" s="240"/>
      <c r="R171" s="240"/>
      <c r="S171" s="240"/>
      <c r="T171" s="240" t="s">
        <v>890</v>
      </c>
      <c r="U171" s="240"/>
      <c r="V171" s="240"/>
      <c r="W171" s="240"/>
      <c r="X171" s="238"/>
      <c r="Y171" s="240"/>
      <c r="Z171" s="240"/>
      <c r="AA171" s="240"/>
      <c r="AB171" s="240"/>
      <c r="AC171" s="240"/>
      <c r="AD171" s="240"/>
      <c r="AE171" s="240"/>
      <c r="AF171" s="240"/>
      <c r="AG171" s="240"/>
      <c r="AH171" s="238"/>
      <c r="AI171" s="240"/>
      <c r="AJ171" s="240"/>
      <c r="AK171" s="240"/>
      <c r="AL171" s="240"/>
      <c r="AM171" s="238"/>
      <c r="AN171" s="240"/>
      <c r="AO171" s="240"/>
      <c r="AP171" s="240"/>
      <c r="AQ171" s="238"/>
      <c r="AR171" s="240"/>
      <c r="AS171" s="240"/>
      <c r="AT171" s="240"/>
      <c r="AU171" s="240"/>
      <c r="AV171" s="240"/>
      <c r="AW171" s="240"/>
      <c r="AX171" s="240"/>
      <c r="AY171" s="240"/>
      <c r="AZ171" s="238"/>
      <c r="BA171" s="240"/>
      <c r="BB171" s="240"/>
      <c r="BC171" s="240"/>
      <c r="BD171" s="240"/>
      <c r="BE171" s="240"/>
      <c r="BF171" s="240"/>
      <c r="BG171" s="240"/>
      <c r="BH171" s="240"/>
      <c r="BI171" s="240"/>
      <c r="BJ171" s="240"/>
      <c r="BK171" s="240"/>
      <c r="BL171" s="240"/>
      <c r="BM171" s="240"/>
      <c r="BN171" s="240"/>
      <c r="BO171" s="240"/>
      <c r="BP171" s="238"/>
      <c r="BQ171" s="240"/>
      <c r="BR171" s="240"/>
      <c r="BS171" s="240"/>
      <c r="BT171" s="240"/>
      <c r="BU171" s="240"/>
      <c r="BV171" s="240"/>
      <c r="BW171" s="240"/>
      <c r="BX171" s="240"/>
      <c r="BY171" s="240"/>
      <c r="BZ171" s="240"/>
      <c r="CA171" s="240"/>
      <c r="CB171" s="240"/>
      <c r="CC171" s="240"/>
      <c r="CD171" s="240"/>
      <c r="CE171" s="240"/>
      <c r="CF171" s="238"/>
      <c r="CG171" s="240"/>
      <c r="CH171" s="240"/>
      <c r="CI171" s="240"/>
      <c r="CJ171" s="240"/>
      <c r="CK171" s="240"/>
      <c r="CL171" s="240"/>
      <c r="CM171" s="240"/>
      <c r="CN171" s="240"/>
      <c r="CO171" s="240"/>
      <c r="CP171" s="240"/>
      <c r="CQ171" s="240"/>
      <c r="CR171" s="240"/>
      <c r="CS171" s="238"/>
      <c r="CT171" s="240"/>
      <c r="CU171" s="240"/>
      <c r="CV171" s="240"/>
      <c r="CW171" s="240"/>
      <c r="CX171" s="240"/>
      <c r="CY171" s="240"/>
      <c r="CZ171" s="240"/>
      <c r="DA171" s="240"/>
      <c r="DB171" s="240"/>
      <c r="DC171" s="240"/>
      <c r="DD171" s="240"/>
      <c r="DE171" s="240"/>
      <c r="DF171" s="238"/>
      <c r="DG171" s="240"/>
      <c r="DH171" s="240"/>
      <c r="DI171" s="240"/>
      <c r="DJ171" s="240"/>
      <c r="DK171" s="240"/>
      <c r="DL171" s="240"/>
      <c r="DM171" s="240"/>
      <c r="DN171" s="240"/>
      <c r="DO171" s="240"/>
      <c r="DP171" s="240"/>
      <c r="DQ171" s="240"/>
      <c r="DR171" s="238"/>
      <c r="DS171" s="240"/>
      <c r="DT171" s="240"/>
      <c r="DU171" s="240"/>
      <c r="DV171" s="238"/>
      <c r="DW171" s="240"/>
      <c r="DX171" s="240"/>
      <c r="DY171" s="240"/>
      <c r="DZ171" s="240"/>
      <c r="EA171" s="240"/>
      <c r="EB171" s="240"/>
      <c r="EC171" s="240"/>
      <c r="ED171" s="240"/>
      <c r="EE171" s="240"/>
      <c r="EF171" s="238"/>
      <c r="EG171" s="240"/>
      <c r="EH171" s="240"/>
      <c r="EI171" s="240"/>
      <c r="EJ171" s="238"/>
      <c r="EK171" s="240"/>
      <c r="EL171" s="238"/>
      <c r="EM171" s="240"/>
      <c r="EN171" s="240"/>
      <c r="EO171" s="240"/>
      <c r="EP171" s="240"/>
      <c r="EQ171" s="240" t="s">
        <v>890</v>
      </c>
      <c r="ER171" s="240"/>
      <c r="ES171" s="240"/>
      <c r="ET171" s="240"/>
      <c r="EU171" s="240"/>
      <c r="EV171" s="240"/>
      <c r="EW171" s="240"/>
      <c r="EX171" s="238"/>
      <c r="EY171" s="240"/>
      <c r="EZ171" s="240"/>
      <c r="FA171" s="240"/>
      <c r="FB171" s="240"/>
      <c r="FC171" s="240"/>
      <c r="FD171" s="240"/>
      <c r="FE171" s="240"/>
      <c r="FF171" s="240"/>
      <c r="FG171" s="240"/>
      <c r="FH171" s="240"/>
      <c r="FI171" s="240"/>
      <c r="FJ171" s="240"/>
      <c r="FK171" s="240"/>
      <c r="FL171" s="240"/>
      <c r="FM171" s="240"/>
      <c r="FN171" s="240"/>
      <c r="FO171" s="238"/>
      <c r="FP171" s="240"/>
      <c r="FQ171" s="240"/>
      <c r="FR171" s="240"/>
      <c r="FS171" s="240"/>
      <c r="FT171" s="240"/>
      <c r="FU171" s="240"/>
      <c r="FV171" s="240"/>
      <c r="FW171" s="240"/>
      <c r="FX171" s="240"/>
      <c r="FY171" s="240"/>
      <c r="FZ171" s="238"/>
      <c r="GA171" s="240"/>
      <c r="GB171" s="240"/>
      <c r="GC171" s="238"/>
      <c r="GD171" s="240"/>
      <c r="GE171" s="240"/>
      <c r="GF171" s="240"/>
      <c r="GG171" s="240"/>
      <c r="GH171" s="238"/>
      <c r="GI171" s="240"/>
      <c r="GJ171" s="240"/>
      <c r="GK171" s="240"/>
      <c r="GL171" s="240"/>
      <c r="GM171" s="238"/>
      <c r="GN171" s="240"/>
      <c r="GO171" s="240"/>
      <c r="GP171" s="240"/>
      <c r="GQ171" s="240"/>
      <c r="GR171" s="240"/>
      <c r="GS171" s="240"/>
      <c r="GT171" s="240"/>
      <c r="GU171" s="240"/>
      <c r="GV171" s="240"/>
      <c r="GW171" s="240"/>
      <c r="GX171" s="240"/>
      <c r="GY171" s="240"/>
      <c r="GZ171" s="240"/>
      <c r="HA171" s="240"/>
      <c r="HB171" s="240"/>
      <c r="HC171" s="240"/>
      <c r="HD171" s="238"/>
      <c r="HE171" s="240"/>
      <c r="HF171" s="240"/>
      <c r="HG171" s="240"/>
      <c r="HH171" s="240"/>
      <c r="HI171" s="240"/>
      <c r="HJ171" s="238"/>
      <c r="HK171" s="240"/>
      <c r="HL171" s="238"/>
      <c r="HM171" s="241"/>
      <c r="HN171" s="235"/>
      <c r="HO171" s="235"/>
      <c r="HP171" s="235"/>
      <c r="HQ171" s="235"/>
    </row>
    <row r="172" spans="2:225" ht="37.5" hidden="1" outlineLevel="2">
      <c r="B172" s="251" t="s">
        <v>414</v>
      </c>
      <c r="C172" s="288" t="str">
        <f>IF(C171="Hide","Hide","Show")</f>
        <v>Show</v>
      </c>
      <c r="D172" s="236" t="s">
        <v>3261</v>
      </c>
      <c r="E172" s="248"/>
      <c r="F172" s="284" t="str">
        <f>IF(E172='3. Dropdowns'!C150,"","Submittals, Execution")</f>
        <v>Submittals, Execution</v>
      </c>
      <c r="G172" s="268"/>
      <c r="H172" s="238"/>
      <c r="I172" s="239"/>
      <c r="J172" s="240"/>
      <c r="K172" s="240"/>
      <c r="L172" s="240"/>
      <c r="M172" s="240"/>
      <c r="N172" s="240"/>
      <c r="O172" s="240"/>
      <c r="P172" s="240"/>
      <c r="Q172" s="240"/>
      <c r="R172" s="240"/>
      <c r="S172" s="240"/>
      <c r="T172" s="240" t="s">
        <v>890</v>
      </c>
      <c r="U172" s="240"/>
      <c r="V172" s="240"/>
      <c r="W172" s="240"/>
      <c r="X172" s="238"/>
      <c r="Y172" s="240"/>
      <c r="Z172" s="240"/>
      <c r="AA172" s="240"/>
      <c r="AB172" s="240"/>
      <c r="AC172" s="240"/>
      <c r="AD172" s="240"/>
      <c r="AE172" s="240"/>
      <c r="AF172" s="240"/>
      <c r="AG172" s="240"/>
      <c r="AH172" s="238"/>
      <c r="AI172" s="240"/>
      <c r="AJ172" s="240"/>
      <c r="AK172" s="240"/>
      <c r="AL172" s="240"/>
      <c r="AM172" s="238"/>
      <c r="AN172" s="240"/>
      <c r="AO172" s="240"/>
      <c r="AP172" s="240"/>
      <c r="AQ172" s="238"/>
      <c r="AR172" s="240"/>
      <c r="AS172" s="240"/>
      <c r="AT172" s="240"/>
      <c r="AU172" s="240"/>
      <c r="AV172" s="240"/>
      <c r="AW172" s="240"/>
      <c r="AX172" s="240"/>
      <c r="AY172" s="240"/>
      <c r="AZ172" s="238"/>
      <c r="BA172" s="240"/>
      <c r="BB172" s="240"/>
      <c r="BC172" s="240"/>
      <c r="BD172" s="240"/>
      <c r="BE172" s="240"/>
      <c r="BF172" s="240"/>
      <c r="BG172" s="240"/>
      <c r="BH172" s="240"/>
      <c r="BI172" s="240"/>
      <c r="BJ172" s="240"/>
      <c r="BK172" s="240"/>
      <c r="BL172" s="240"/>
      <c r="BM172" s="240"/>
      <c r="BN172" s="240"/>
      <c r="BO172" s="240"/>
      <c r="BP172" s="238"/>
      <c r="BQ172" s="240"/>
      <c r="BR172" s="240"/>
      <c r="BS172" s="240"/>
      <c r="BT172" s="240"/>
      <c r="BU172" s="240"/>
      <c r="BV172" s="240"/>
      <c r="BW172" s="240"/>
      <c r="BX172" s="240"/>
      <c r="BY172" s="240"/>
      <c r="BZ172" s="240"/>
      <c r="CA172" s="240"/>
      <c r="CB172" s="240"/>
      <c r="CC172" s="240"/>
      <c r="CD172" s="240"/>
      <c r="CE172" s="240"/>
      <c r="CF172" s="238"/>
      <c r="CG172" s="240"/>
      <c r="CH172" s="240"/>
      <c r="CI172" s="240"/>
      <c r="CJ172" s="240"/>
      <c r="CK172" s="240"/>
      <c r="CL172" s="240"/>
      <c r="CM172" s="240"/>
      <c r="CN172" s="240"/>
      <c r="CO172" s="240"/>
      <c r="CP172" s="240"/>
      <c r="CQ172" s="240"/>
      <c r="CR172" s="240"/>
      <c r="CS172" s="238"/>
      <c r="CT172" s="240"/>
      <c r="CU172" s="240"/>
      <c r="CV172" s="240"/>
      <c r="CW172" s="240"/>
      <c r="CX172" s="240"/>
      <c r="CY172" s="240"/>
      <c r="CZ172" s="240"/>
      <c r="DA172" s="240"/>
      <c r="DB172" s="240"/>
      <c r="DC172" s="240"/>
      <c r="DD172" s="240"/>
      <c r="DE172" s="240"/>
      <c r="DF172" s="238"/>
      <c r="DG172" s="240"/>
      <c r="DH172" s="240"/>
      <c r="DI172" s="240"/>
      <c r="DJ172" s="240"/>
      <c r="DK172" s="240"/>
      <c r="DL172" s="240"/>
      <c r="DM172" s="240"/>
      <c r="DN172" s="240"/>
      <c r="DO172" s="240"/>
      <c r="DP172" s="240"/>
      <c r="DQ172" s="240"/>
      <c r="DR172" s="238"/>
      <c r="DS172" s="240"/>
      <c r="DT172" s="240"/>
      <c r="DU172" s="240"/>
      <c r="DV172" s="238"/>
      <c r="DW172" s="240"/>
      <c r="DX172" s="240"/>
      <c r="DY172" s="240"/>
      <c r="DZ172" s="240"/>
      <c r="EA172" s="240"/>
      <c r="EB172" s="240"/>
      <c r="EC172" s="240"/>
      <c r="ED172" s="240"/>
      <c r="EE172" s="240"/>
      <c r="EF172" s="238"/>
      <c r="EG172" s="240"/>
      <c r="EH172" s="240"/>
      <c r="EI172" s="240"/>
      <c r="EJ172" s="238"/>
      <c r="EK172" s="240"/>
      <c r="EL172" s="238"/>
      <c r="EM172" s="240"/>
      <c r="EN172" s="240"/>
      <c r="EO172" s="240"/>
      <c r="EP172" s="240"/>
      <c r="EQ172" s="240" t="s">
        <v>890</v>
      </c>
      <c r="ER172" s="240"/>
      <c r="ES172" s="240"/>
      <c r="ET172" s="240"/>
      <c r="EU172" s="240"/>
      <c r="EV172" s="240"/>
      <c r="EW172" s="240"/>
      <c r="EX172" s="238"/>
      <c r="EY172" s="240"/>
      <c r="EZ172" s="240"/>
      <c r="FA172" s="240"/>
      <c r="FB172" s="240"/>
      <c r="FC172" s="240"/>
      <c r="FD172" s="240"/>
      <c r="FE172" s="240"/>
      <c r="FF172" s="240"/>
      <c r="FG172" s="240"/>
      <c r="FH172" s="240"/>
      <c r="FI172" s="240"/>
      <c r="FJ172" s="240"/>
      <c r="FK172" s="240"/>
      <c r="FL172" s="240"/>
      <c r="FM172" s="240"/>
      <c r="FN172" s="240"/>
      <c r="FO172" s="238"/>
      <c r="FP172" s="240"/>
      <c r="FQ172" s="240"/>
      <c r="FR172" s="240"/>
      <c r="FS172" s="240"/>
      <c r="FT172" s="240"/>
      <c r="FU172" s="240"/>
      <c r="FV172" s="240"/>
      <c r="FW172" s="240"/>
      <c r="FX172" s="240"/>
      <c r="FY172" s="240"/>
      <c r="FZ172" s="238"/>
      <c r="GA172" s="240"/>
      <c r="GB172" s="240"/>
      <c r="GC172" s="238"/>
      <c r="GD172" s="240"/>
      <c r="GE172" s="240"/>
      <c r="GF172" s="240"/>
      <c r="GG172" s="240"/>
      <c r="GH172" s="238"/>
      <c r="GI172" s="240"/>
      <c r="GJ172" s="240"/>
      <c r="GK172" s="240"/>
      <c r="GL172" s="240"/>
      <c r="GM172" s="238"/>
      <c r="GN172" s="240"/>
      <c r="GO172" s="240"/>
      <c r="GP172" s="240"/>
      <c r="GQ172" s="240"/>
      <c r="GR172" s="240"/>
      <c r="GS172" s="240"/>
      <c r="GT172" s="240"/>
      <c r="GU172" s="240"/>
      <c r="GV172" s="240"/>
      <c r="GW172" s="240"/>
      <c r="GX172" s="240"/>
      <c r="GY172" s="240"/>
      <c r="GZ172" s="240"/>
      <c r="HA172" s="240"/>
      <c r="HB172" s="240"/>
      <c r="HC172" s="240"/>
      <c r="HD172" s="238"/>
      <c r="HE172" s="240"/>
      <c r="HF172" s="240"/>
      <c r="HG172" s="240"/>
      <c r="HH172" s="240"/>
      <c r="HI172" s="240"/>
      <c r="HJ172" s="238"/>
      <c r="HK172" s="240"/>
      <c r="HL172" s="238"/>
      <c r="HM172" s="241"/>
      <c r="HN172" s="235"/>
      <c r="HO172" s="235"/>
      <c r="HP172" s="235"/>
      <c r="HQ172" s="235"/>
    </row>
    <row r="173" spans="2:225" ht="37.5" hidden="1" outlineLevel="2">
      <c r="B173" s="251" t="s">
        <v>452</v>
      </c>
      <c r="C173" s="288" t="str">
        <f>IF(E170='3. Dropdowns'!C139,"Hide",IF(E170='3. Dropdowns'!C140,"Hide",IF(E170='3. Dropdowns'!C141,"Hide",IF(E170='3. Dropdowns'!C143,"Hide","Show"))))</f>
        <v>Show</v>
      </c>
      <c r="D173" s="236" t="s">
        <v>3262</v>
      </c>
      <c r="E173" s="248"/>
      <c r="F173" s="284" t="str">
        <f>IF(E173='3. Dropdowns'!C154,"","Submittals, Products, Execution")</f>
        <v>Submittals, Products, Execution</v>
      </c>
      <c r="G173" s="268"/>
      <c r="H173" s="238"/>
      <c r="I173" s="239"/>
      <c r="J173" s="240"/>
      <c r="K173" s="240"/>
      <c r="L173" s="240"/>
      <c r="M173" s="240"/>
      <c r="N173" s="240"/>
      <c r="O173" s="240"/>
      <c r="P173" s="240"/>
      <c r="Q173" s="240"/>
      <c r="R173" s="240"/>
      <c r="S173" s="240"/>
      <c r="T173" s="240" t="s">
        <v>890</v>
      </c>
      <c r="U173" s="240"/>
      <c r="V173" s="240"/>
      <c r="W173" s="240"/>
      <c r="X173" s="238"/>
      <c r="Y173" s="240"/>
      <c r="Z173" s="240"/>
      <c r="AA173" s="240"/>
      <c r="AB173" s="240"/>
      <c r="AC173" s="240"/>
      <c r="AD173" s="240"/>
      <c r="AE173" s="240"/>
      <c r="AF173" s="240"/>
      <c r="AG173" s="240"/>
      <c r="AH173" s="238"/>
      <c r="AI173" s="240"/>
      <c r="AJ173" s="240"/>
      <c r="AK173" s="240"/>
      <c r="AL173" s="240"/>
      <c r="AM173" s="238"/>
      <c r="AN173" s="240"/>
      <c r="AO173" s="240"/>
      <c r="AP173" s="240"/>
      <c r="AQ173" s="238"/>
      <c r="AR173" s="240"/>
      <c r="AS173" s="240"/>
      <c r="AT173" s="240"/>
      <c r="AU173" s="240"/>
      <c r="AV173" s="240"/>
      <c r="AW173" s="240"/>
      <c r="AX173" s="240"/>
      <c r="AY173" s="240"/>
      <c r="AZ173" s="238"/>
      <c r="BA173" s="240"/>
      <c r="BB173" s="240"/>
      <c r="BC173" s="240"/>
      <c r="BD173" s="240"/>
      <c r="BE173" s="240"/>
      <c r="BF173" s="240"/>
      <c r="BG173" s="240"/>
      <c r="BH173" s="240"/>
      <c r="BI173" s="240"/>
      <c r="BJ173" s="240"/>
      <c r="BK173" s="240"/>
      <c r="BL173" s="240"/>
      <c r="BM173" s="240"/>
      <c r="BN173" s="240"/>
      <c r="BO173" s="240"/>
      <c r="BP173" s="238"/>
      <c r="BQ173" s="240"/>
      <c r="BR173" s="240"/>
      <c r="BS173" s="240"/>
      <c r="BT173" s="240"/>
      <c r="BU173" s="240"/>
      <c r="BV173" s="240"/>
      <c r="BW173" s="240"/>
      <c r="BX173" s="240"/>
      <c r="BY173" s="240"/>
      <c r="BZ173" s="240"/>
      <c r="CA173" s="240"/>
      <c r="CB173" s="240"/>
      <c r="CC173" s="240"/>
      <c r="CD173" s="240"/>
      <c r="CE173" s="240"/>
      <c r="CF173" s="238"/>
      <c r="CG173" s="240"/>
      <c r="CH173" s="240"/>
      <c r="CI173" s="240"/>
      <c r="CJ173" s="240"/>
      <c r="CK173" s="240"/>
      <c r="CL173" s="240"/>
      <c r="CM173" s="240"/>
      <c r="CN173" s="240"/>
      <c r="CO173" s="240"/>
      <c r="CP173" s="240"/>
      <c r="CQ173" s="240"/>
      <c r="CR173" s="240"/>
      <c r="CS173" s="238"/>
      <c r="CT173" s="240"/>
      <c r="CU173" s="240"/>
      <c r="CV173" s="240"/>
      <c r="CW173" s="240"/>
      <c r="CX173" s="240"/>
      <c r="CY173" s="240"/>
      <c r="CZ173" s="240"/>
      <c r="DA173" s="240"/>
      <c r="DB173" s="240"/>
      <c r="DC173" s="240"/>
      <c r="DD173" s="240"/>
      <c r="DE173" s="240"/>
      <c r="DF173" s="238"/>
      <c r="DG173" s="240"/>
      <c r="DH173" s="240"/>
      <c r="DI173" s="240"/>
      <c r="DJ173" s="240"/>
      <c r="DK173" s="240"/>
      <c r="DL173" s="240"/>
      <c r="DM173" s="240"/>
      <c r="DN173" s="240"/>
      <c r="DO173" s="240"/>
      <c r="DP173" s="240"/>
      <c r="DQ173" s="240"/>
      <c r="DR173" s="238"/>
      <c r="DS173" s="240"/>
      <c r="DT173" s="240"/>
      <c r="DU173" s="240"/>
      <c r="DV173" s="238"/>
      <c r="DW173" s="240"/>
      <c r="DX173" s="240"/>
      <c r="DY173" s="240"/>
      <c r="DZ173" s="240"/>
      <c r="EA173" s="240"/>
      <c r="EB173" s="240"/>
      <c r="EC173" s="240"/>
      <c r="ED173" s="240"/>
      <c r="EE173" s="240"/>
      <c r="EF173" s="238"/>
      <c r="EG173" s="240"/>
      <c r="EH173" s="240"/>
      <c r="EI173" s="240"/>
      <c r="EJ173" s="238"/>
      <c r="EK173" s="240"/>
      <c r="EL173" s="238"/>
      <c r="EM173" s="240"/>
      <c r="EN173" s="240" t="s">
        <v>890</v>
      </c>
      <c r="EO173" s="240"/>
      <c r="EP173" s="240"/>
      <c r="EQ173" s="240"/>
      <c r="ER173" s="240"/>
      <c r="ES173" s="240"/>
      <c r="ET173" s="240"/>
      <c r="EU173" s="240"/>
      <c r="EV173" s="240"/>
      <c r="EW173" s="240"/>
      <c r="EX173" s="238"/>
      <c r="EY173" s="240"/>
      <c r="EZ173" s="240"/>
      <c r="FA173" s="240"/>
      <c r="FB173" s="240"/>
      <c r="FC173" s="240"/>
      <c r="FD173" s="240"/>
      <c r="FE173" s="240"/>
      <c r="FF173" s="240"/>
      <c r="FG173" s="240"/>
      <c r="FH173" s="240"/>
      <c r="FI173" s="240"/>
      <c r="FJ173" s="240"/>
      <c r="FK173" s="240"/>
      <c r="FL173" s="240"/>
      <c r="FM173" s="240"/>
      <c r="FN173" s="240"/>
      <c r="FO173" s="238"/>
      <c r="FP173" s="240"/>
      <c r="FQ173" s="240"/>
      <c r="FR173" s="240"/>
      <c r="FS173" s="240"/>
      <c r="FT173" s="240"/>
      <c r="FU173" s="240"/>
      <c r="FV173" s="240"/>
      <c r="FW173" s="240"/>
      <c r="FX173" s="240"/>
      <c r="FY173" s="240"/>
      <c r="FZ173" s="238"/>
      <c r="GA173" s="240"/>
      <c r="GB173" s="240"/>
      <c r="GC173" s="238"/>
      <c r="GD173" s="240"/>
      <c r="GE173" s="240"/>
      <c r="GF173" s="240"/>
      <c r="GG173" s="240"/>
      <c r="GH173" s="238"/>
      <c r="GI173" s="240"/>
      <c r="GJ173" s="240"/>
      <c r="GK173" s="240"/>
      <c r="GL173" s="240"/>
      <c r="GM173" s="238"/>
      <c r="GN173" s="240"/>
      <c r="GO173" s="240"/>
      <c r="GP173" s="240"/>
      <c r="GQ173" s="240"/>
      <c r="GR173" s="240"/>
      <c r="GS173" s="240"/>
      <c r="GT173" s="240"/>
      <c r="GU173" s="240"/>
      <c r="GV173" s="240"/>
      <c r="GW173" s="240"/>
      <c r="GX173" s="240"/>
      <c r="GY173" s="240"/>
      <c r="GZ173" s="240"/>
      <c r="HA173" s="240"/>
      <c r="HB173" s="240"/>
      <c r="HC173" s="240"/>
      <c r="HD173" s="238"/>
      <c r="HE173" s="240"/>
      <c r="HF173" s="240"/>
      <c r="HG173" s="240"/>
      <c r="HH173" s="240"/>
      <c r="HI173" s="240"/>
      <c r="HJ173" s="238"/>
      <c r="HK173" s="240"/>
      <c r="HL173" s="238"/>
      <c r="HM173" s="241"/>
      <c r="HN173" s="235"/>
      <c r="HO173" s="235"/>
      <c r="HP173" s="235"/>
      <c r="HQ173" s="235"/>
    </row>
    <row r="174" spans="2:225" ht="37.5" hidden="1" outlineLevel="2">
      <c r="B174" s="251" t="s">
        <v>452</v>
      </c>
      <c r="C174" s="288" t="str">
        <f>IF(C173="Hide","Hide","Show")</f>
        <v>Show</v>
      </c>
      <c r="D174" s="236" t="s">
        <v>3263</v>
      </c>
      <c r="E174" s="248"/>
      <c r="F174" s="284" t="str">
        <f>IF(E174='3. Dropdowns'!C157,"","Submittals, Products, Execution")</f>
        <v>Submittals, Products, Execution</v>
      </c>
      <c r="G174" s="268"/>
      <c r="H174" s="238"/>
      <c r="I174" s="239"/>
      <c r="J174" s="240"/>
      <c r="K174" s="240"/>
      <c r="L174" s="240"/>
      <c r="M174" s="240"/>
      <c r="N174" s="240"/>
      <c r="O174" s="240"/>
      <c r="P174" s="240"/>
      <c r="Q174" s="240"/>
      <c r="R174" s="240"/>
      <c r="S174" s="240"/>
      <c r="T174" s="240" t="s">
        <v>890</v>
      </c>
      <c r="U174" s="240"/>
      <c r="V174" s="240"/>
      <c r="W174" s="240"/>
      <c r="X174" s="238"/>
      <c r="Y174" s="240"/>
      <c r="Z174" s="240"/>
      <c r="AA174" s="240"/>
      <c r="AB174" s="240"/>
      <c r="AC174" s="240"/>
      <c r="AD174" s="240"/>
      <c r="AE174" s="240"/>
      <c r="AF174" s="240"/>
      <c r="AG174" s="240"/>
      <c r="AH174" s="238"/>
      <c r="AI174" s="240"/>
      <c r="AJ174" s="240"/>
      <c r="AK174" s="240"/>
      <c r="AL174" s="240"/>
      <c r="AM174" s="238"/>
      <c r="AN174" s="240"/>
      <c r="AO174" s="240"/>
      <c r="AP174" s="240"/>
      <c r="AQ174" s="238"/>
      <c r="AR174" s="240"/>
      <c r="AS174" s="240"/>
      <c r="AT174" s="240"/>
      <c r="AU174" s="240"/>
      <c r="AV174" s="240"/>
      <c r="AW174" s="240"/>
      <c r="AX174" s="240"/>
      <c r="AY174" s="240"/>
      <c r="AZ174" s="238"/>
      <c r="BA174" s="240"/>
      <c r="BB174" s="240"/>
      <c r="BC174" s="240"/>
      <c r="BD174" s="240"/>
      <c r="BE174" s="240"/>
      <c r="BF174" s="240"/>
      <c r="BG174" s="240"/>
      <c r="BH174" s="240"/>
      <c r="BI174" s="240"/>
      <c r="BJ174" s="240"/>
      <c r="BK174" s="240"/>
      <c r="BL174" s="240"/>
      <c r="BM174" s="240"/>
      <c r="BN174" s="240"/>
      <c r="BO174" s="240"/>
      <c r="BP174" s="238"/>
      <c r="BQ174" s="240"/>
      <c r="BR174" s="240"/>
      <c r="BS174" s="240"/>
      <c r="BT174" s="240"/>
      <c r="BU174" s="240"/>
      <c r="BV174" s="240"/>
      <c r="BW174" s="240"/>
      <c r="BX174" s="240"/>
      <c r="BY174" s="240"/>
      <c r="BZ174" s="240"/>
      <c r="CA174" s="240"/>
      <c r="CB174" s="240"/>
      <c r="CC174" s="240"/>
      <c r="CD174" s="240"/>
      <c r="CE174" s="240"/>
      <c r="CF174" s="238"/>
      <c r="CG174" s="240"/>
      <c r="CH174" s="240"/>
      <c r="CI174" s="240"/>
      <c r="CJ174" s="240"/>
      <c r="CK174" s="240"/>
      <c r="CL174" s="240"/>
      <c r="CM174" s="240"/>
      <c r="CN174" s="240"/>
      <c r="CO174" s="240"/>
      <c r="CP174" s="240"/>
      <c r="CQ174" s="240"/>
      <c r="CR174" s="240"/>
      <c r="CS174" s="238"/>
      <c r="CT174" s="240"/>
      <c r="CU174" s="240"/>
      <c r="CV174" s="240"/>
      <c r="CW174" s="240"/>
      <c r="CX174" s="240"/>
      <c r="CY174" s="240"/>
      <c r="CZ174" s="240"/>
      <c r="DA174" s="240"/>
      <c r="DB174" s="240"/>
      <c r="DC174" s="240"/>
      <c r="DD174" s="240"/>
      <c r="DE174" s="240"/>
      <c r="DF174" s="238"/>
      <c r="DG174" s="240"/>
      <c r="DH174" s="240"/>
      <c r="DI174" s="240"/>
      <c r="DJ174" s="240"/>
      <c r="DK174" s="240"/>
      <c r="DL174" s="240"/>
      <c r="DM174" s="240"/>
      <c r="DN174" s="240"/>
      <c r="DO174" s="240"/>
      <c r="DP174" s="240"/>
      <c r="DQ174" s="240"/>
      <c r="DR174" s="238"/>
      <c r="DS174" s="240"/>
      <c r="DT174" s="240"/>
      <c r="DU174" s="240"/>
      <c r="DV174" s="238"/>
      <c r="DW174" s="240"/>
      <c r="DX174" s="240"/>
      <c r="DY174" s="240"/>
      <c r="DZ174" s="240"/>
      <c r="EA174" s="240"/>
      <c r="EB174" s="240"/>
      <c r="EC174" s="240"/>
      <c r="ED174" s="240"/>
      <c r="EE174" s="240"/>
      <c r="EF174" s="238"/>
      <c r="EG174" s="240"/>
      <c r="EH174" s="240"/>
      <c r="EI174" s="240"/>
      <c r="EJ174" s="238"/>
      <c r="EK174" s="240"/>
      <c r="EL174" s="238"/>
      <c r="EM174" s="240"/>
      <c r="EN174" s="240" t="s">
        <v>890</v>
      </c>
      <c r="EO174" s="240"/>
      <c r="EP174" s="240"/>
      <c r="EQ174" s="240"/>
      <c r="ER174" s="240"/>
      <c r="ES174" s="240"/>
      <c r="ET174" s="240"/>
      <c r="EU174" s="240"/>
      <c r="EV174" s="240"/>
      <c r="EW174" s="240"/>
      <c r="EX174" s="238"/>
      <c r="EY174" s="240"/>
      <c r="EZ174" s="240"/>
      <c r="FA174" s="240"/>
      <c r="FB174" s="240"/>
      <c r="FC174" s="240"/>
      <c r="FD174" s="240"/>
      <c r="FE174" s="240"/>
      <c r="FF174" s="240"/>
      <c r="FG174" s="240"/>
      <c r="FH174" s="240"/>
      <c r="FI174" s="240"/>
      <c r="FJ174" s="240"/>
      <c r="FK174" s="240"/>
      <c r="FL174" s="240"/>
      <c r="FM174" s="240"/>
      <c r="FN174" s="240"/>
      <c r="FO174" s="238"/>
      <c r="FP174" s="240"/>
      <c r="FQ174" s="240"/>
      <c r="FR174" s="240"/>
      <c r="FS174" s="240"/>
      <c r="FT174" s="240"/>
      <c r="FU174" s="240"/>
      <c r="FV174" s="240"/>
      <c r="FW174" s="240"/>
      <c r="FX174" s="240"/>
      <c r="FY174" s="240"/>
      <c r="FZ174" s="238"/>
      <c r="GA174" s="240"/>
      <c r="GB174" s="240"/>
      <c r="GC174" s="238"/>
      <c r="GD174" s="240"/>
      <c r="GE174" s="240"/>
      <c r="GF174" s="240"/>
      <c r="GG174" s="240"/>
      <c r="GH174" s="238"/>
      <c r="GI174" s="240"/>
      <c r="GJ174" s="240"/>
      <c r="GK174" s="240"/>
      <c r="GL174" s="240"/>
      <c r="GM174" s="238"/>
      <c r="GN174" s="240"/>
      <c r="GO174" s="240"/>
      <c r="GP174" s="240"/>
      <c r="GQ174" s="240"/>
      <c r="GR174" s="240"/>
      <c r="GS174" s="240"/>
      <c r="GT174" s="240"/>
      <c r="GU174" s="240"/>
      <c r="GV174" s="240"/>
      <c r="GW174" s="240"/>
      <c r="GX174" s="240"/>
      <c r="GY174" s="240"/>
      <c r="GZ174" s="240"/>
      <c r="HA174" s="240"/>
      <c r="HB174" s="240"/>
      <c r="HC174" s="240"/>
      <c r="HD174" s="238"/>
      <c r="HE174" s="240"/>
      <c r="HF174" s="240"/>
      <c r="HG174" s="240"/>
      <c r="HH174" s="240"/>
      <c r="HI174" s="240"/>
      <c r="HJ174" s="238"/>
      <c r="HK174" s="240"/>
      <c r="HL174" s="238"/>
      <c r="HM174" s="241"/>
      <c r="HN174" s="235"/>
      <c r="HO174" s="235"/>
      <c r="HP174" s="235"/>
      <c r="HQ174" s="235"/>
    </row>
    <row r="175" spans="2:225" hidden="1" outlineLevel="2">
      <c r="B175" s="251" t="s">
        <v>2072</v>
      </c>
      <c r="C175" s="288" t="str">
        <f>IF(OR(E174='3. Dropdowns'!C157,E170='3. Dropdowns'!C139,E170='3. Dropdowns'!C140,E170='3. Dropdowns'!C141,E170='3. Dropdowns'!C143),"Hide","Show")</f>
        <v>Show</v>
      </c>
      <c r="D175" s="289" t="s">
        <v>3264</v>
      </c>
      <c r="E175" s="248"/>
      <c r="F175" s="284" t="str">
        <f>IF(E175='3. Dropdowns'!C160,"","Submittals, Products, Execution")</f>
        <v>Submittals, Products, Execution</v>
      </c>
      <c r="G175" s="268"/>
      <c r="H175" s="238"/>
      <c r="I175" s="239"/>
      <c r="J175" s="240"/>
      <c r="K175" s="240"/>
      <c r="L175" s="240"/>
      <c r="M175" s="240"/>
      <c r="N175" s="240"/>
      <c r="O175" s="240"/>
      <c r="P175" s="240"/>
      <c r="Q175" s="240"/>
      <c r="R175" s="240"/>
      <c r="S175" s="240"/>
      <c r="T175" s="240" t="s">
        <v>890</v>
      </c>
      <c r="U175" s="240"/>
      <c r="V175" s="240"/>
      <c r="W175" s="240"/>
      <c r="X175" s="238"/>
      <c r="Y175" s="240"/>
      <c r="Z175" s="240"/>
      <c r="AA175" s="240"/>
      <c r="AB175" s="240"/>
      <c r="AC175" s="240"/>
      <c r="AD175" s="240"/>
      <c r="AE175" s="240"/>
      <c r="AF175" s="240"/>
      <c r="AG175" s="240"/>
      <c r="AH175" s="238"/>
      <c r="AI175" s="240"/>
      <c r="AJ175" s="240"/>
      <c r="AK175" s="240"/>
      <c r="AL175" s="240"/>
      <c r="AM175" s="238"/>
      <c r="AN175" s="240"/>
      <c r="AO175" s="240"/>
      <c r="AP175" s="240"/>
      <c r="AQ175" s="238"/>
      <c r="AR175" s="240"/>
      <c r="AS175" s="240"/>
      <c r="AT175" s="240"/>
      <c r="AU175" s="240"/>
      <c r="AV175" s="240"/>
      <c r="AW175" s="240"/>
      <c r="AX175" s="240"/>
      <c r="AY175" s="240"/>
      <c r="AZ175" s="238"/>
      <c r="BA175" s="240"/>
      <c r="BB175" s="240"/>
      <c r="BC175" s="240"/>
      <c r="BD175" s="240"/>
      <c r="BE175" s="240"/>
      <c r="BF175" s="240"/>
      <c r="BG175" s="240"/>
      <c r="BH175" s="240"/>
      <c r="BI175" s="240"/>
      <c r="BJ175" s="240"/>
      <c r="BK175" s="240"/>
      <c r="BL175" s="240"/>
      <c r="BM175" s="240"/>
      <c r="BN175" s="240"/>
      <c r="BO175" s="240"/>
      <c r="BP175" s="238"/>
      <c r="BQ175" s="240"/>
      <c r="BR175" s="240"/>
      <c r="BS175" s="240"/>
      <c r="BT175" s="240"/>
      <c r="BU175" s="240"/>
      <c r="BV175" s="240"/>
      <c r="BW175" s="240"/>
      <c r="BX175" s="240"/>
      <c r="BY175" s="240"/>
      <c r="BZ175" s="240"/>
      <c r="CA175" s="240"/>
      <c r="CB175" s="240"/>
      <c r="CC175" s="240"/>
      <c r="CD175" s="240"/>
      <c r="CE175" s="240"/>
      <c r="CF175" s="238"/>
      <c r="CG175" s="240"/>
      <c r="CH175" s="240"/>
      <c r="CI175" s="240"/>
      <c r="CJ175" s="240"/>
      <c r="CK175" s="240"/>
      <c r="CL175" s="240"/>
      <c r="CM175" s="240"/>
      <c r="CN175" s="240"/>
      <c r="CO175" s="240"/>
      <c r="CP175" s="240"/>
      <c r="CQ175" s="240"/>
      <c r="CR175" s="240"/>
      <c r="CS175" s="238"/>
      <c r="CT175" s="240"/>
      <c r="CU175" s="240"/>
      <c r="CV175" s="240"/>
      <c r="CW175" s="240"/>
      <c r="CX175" s="240"/>
      <c r="CY175" s="240"/>
      <c r="CZ175" s="240"/>
      <c r="DA175" s="240"/>
      <c r="DB175" s="240"/>
      <c r="DC175" s="240"/>
      <c r="DD175" s="240"/>
      <c r="DE175" s="240"/>
      <c r="DF175" s="238"/>
      <c r="DG175" s="240"/>
      <c r="DH175" s="240"/>
      <c r="DI175" s="240"/>
      <c r="DJ175" s="240"/>
      <c r="DK175" s="240"/>
      <c r="DL175" s="240"/>
      <c r="DM175" s="240"/>
      <c r="DN175" s="240"/>
      <c r="DO175" s="240"/>
      <c r="DP175" s="240"/>
      <c r="DQ175" s="240"/>
      <c r="DR175" s="238"/>
      <c r="DS175" s="240"/>
      <c r="DT175" s="240"/>
      <c r="DU175" s="240"/>
      <c r="DV175" s="238"/>
      <c r="DW175" s="240"/>
      <c r="DX175" s="240"/>
      <c r="DY175" s="240"/>
      <c r="DZ175" s="240"/>
      <c r="EA175" s="240"/>
      <c r="EB175" s="240"/>
      <c r="EC175" s="240"/>
      <c r="ED175" s="240"/>
      <c r="EE175" s="240"/>
      <c r="EF175" s="238"/>
      <c r="EG175" s="240"/>
      <c r="EH175" s="240"/>
      <c r="EI175" s="240"/>
      <c r="EJ175" s="238"/>
      <c r="EK175" s="240"/>
      <c r="EL175" s="238"/>
      <c r="EM175" s="240"/>
      <c r="EN175" s="240" t="s">
        <v>890</v>
      </c>
      <c r="EO175" s="240"/>
      <c r="EP175" s="240"/>
      <c r="EQ175" s="240"/>
      <c r="ER175" s="240"/>
      <c r="ES175" s="240"/>
      <c r="ET175" s="240"/>
      <c r="EU175" s="240"/>
      <c r="EV175" s="240"/>
      <c r="EW175" s="240"/>
      <c r="EX175" s="238"/>
      <c r="EY175" s="240"/>
      <c r="EZ175" s="240"/>
      <c r="FA175" s="240"/>
      <c r="FB175" s="240"/>
      <c r="FC175" s="240"/>
      <c r="FD175" s="240"/>
      <c r="FE175" s="240"/>
      <c r="FF175" s="240"/>
      <c r="FG175" s="240"/>
      <c r="FH175" s="240"/>
      <c r="FI175" s="240"/>
      <c r="FJ175" s="240"/>
      <c r="FK175" s="240"/>
      <c r="FL175" s="240"/>
      <c r="FM175" s="240"/>
      <c r="FN175" s="240"/>
      <c r="FO175" s="238"/>
      <c r="FP175" s="240"/>
      <c r="FQ175" s="240"/>
      <c r="FR175" s="240"/>
      <c r="FS175" s="240"/>
      <c r="FT175" s="240"/>
      <c r="FU175" s="240"/>
      <c r="FV175" s="240"/>
      <c r="FW175" s="240"/>
      <c r="FX175" s="240"/>
      <c r="FY175" s="240"/>
      <c r="FZ175" s="238"/>
      <c r="GA175" s="240"/>
      <c r="GB175" s="240"/>
      <c r="GC175" s="238"/>
      <c r="GD175" s="240"/>
      <c r="GE175" s="240"/>
      <c r="GF175" s="240"/>
      <c r="GG175" s="240"/>
      <c r="GH175" s="238"/>
      <c r="GI175" s="240"/>
      <c r="GJ175" s="240"/>
      <c r="GK175" s="240"/>
      <c r="GL175" s="240"/>
      <c r="GM175" s="238"/>
      <c r="GN175" s="240"/>
      <c r="GO175" s="240"/>
      <c r="GP175" s="240"/>
      <c r="GQ175" s="240"/>
      <c r="GR175" s="240"/>
      <c r="GS175" s="240"/>
      <c r="GT175" s="240"/>
      <c r="GU175" s="240"/>
      <c r="GV175" s="240"/>
      <c r="GW175" s="240"/>
      <c r="GX175" s="240"/>
      <c r="GY175" s="240"/>
      <c r="GZ175" s="240"/>
      <c r="HA175" s="240"/>
      <c r="HB175" s="240"/>
      <c r="HC175" s="240"/>
      <c r="HD175" s="238"/>
      <c r="HE175" s="240"/>
      <c r="HF175" s="240"/>
      <c r="HG175" s="240"/>
      <c r="HH175" s="240"/>
      <c r="HI175" s="240"/>
      <c r="HJ175" s="238"/>
      <c r="HK175" s="240"/>
      <c r="HL175" s="238"/>
      <c r="HM175" s="241"/>
      <c r="HN175" s="235"/>
      <c r="HO175" s="235"/>
      <c r="HP175" s="235"/>
      <c r="HQ175" s="235"/>
    </row>
    <row r="176" spans="2:225" hidden="1" outlineLevel="2">
      <c r="B176" s="251" t="s">
        <v>2072</v>
      </c>
      <c r="C176" s="288" t="str">
        <f>IF(OR(E174='3. Dropdowns'!C157,E170='3. Dropdowns'!C139,E170='3. Dropdowns'!C140,E170='3. Dropdowns'!C141,E170='3. Dropdowns'!C143),"Hide","Show")</f>
        <v>Show</v>
      </c>
      <c r="D176" s="289" t="s">
        <v>3265</v>
      </c>
      <c r="E176" s="248"/>
      <c r="F176" s="284" t="str">
        <f>IF(E176='3. Dropdowns'!C160,"","Submittals, Products, Execution")</f>
        <v>Submittals, Products, Execution</v>
      </c>
      <c r="G176" s="268"/>
      <c r="H176" s="238"/>
      <c r="I176" s="239"/>
      <c r="J176" s="240"/>
      <c r="K176" s="240"/>
      <c r="L176" s="240"/>
      <c r="M176" s="240"/>
      <c r="N176" s="240"/>
      <c r="O176" s="240"/>
      <c r="P176" s="240"/>
      <c r="Q176" s="240"/>
      <c r="R176" s="240"/>
      <c r="S176" s="240"/>
      <c r="T176" s="240" t="s">
        <v>890</v>
      </c>
      <c r="U176" s="240"/>
      <c r="V176" s="240"/>
      <c r="W176" s="240"/>
      <c r="X176" s="238"/>
      <c r="Y176" s="240"/>
      <c r="Z176" s="240"/>
      <c r="AA176" s="240"/>
      <c r="AB176" s="240"/>
      <c r="AC176" s="240"/>
      <c r="AD176" s="240"/>
      <c r="AE176" s="240"/>
      <c r="AF176" s="240"/>
      <c r="AG176" s="240"/>
      <c r="AH176" s="238"/>
      <c r="AI176" s="240"/>
      <c r="AJ176" s="240"/>
      <c r="AK176" s="240"/>
      <c r="AL176" s="240"/>
      <c r="AM176" s="238"/>
      <c r="AN176" s="240"/>
      <c r="AO176" s="240"/>
      <c r="AP176" s="240"/>
      <c r="AQ176" s="238"/>
      <c r="AR176" s="240"/>
      <c r="AS176" s="240"/>
      <c r="AT176" s="240"/>
      <c r="AU176" s="240"/>
      <c r="AV176" s="240"/>
      <c r="AW176" s="240"/>
      <c r="AX176" s="240"/>
      <c r="AY176" s="240"/>
      <c r="AZ176" s="238"/>
      <c r="BA176" s="240"/>
      <c r="BB176" s="240"/>
      <c r="BC176" s="240"/>
      <c r="BD176" s="240"/>
      <c r="BE176" s="240"/>
      <c r="BF176" s="240"/>
      <c r="BG176" s="240"/>
      <c r="BH176" s="240"/>
      <c r="BI176" s="240"/>
      <c r="BJ176" s="240"/>
      <c r="BK176" s="240"/>
      <c r="BL176" s="240"/>
      <c r="BM176" s="240"/>
      <c r="BN176" s="240"/>
      <c r="BO176" s="240"/>
      <c r="BP176" s="238"/>
      <c r="BQ176" s="240"/>
      <c r="BR176" s="240"/>
      <c r="BS176" s="240"/>
      <c r="BT176" s="240"/>
      <c r="BU176" s="240"/>
      <c r="BV176" s="240"/>
      <c r="BW176" s="240"/>
      <c r="BX176" s="240"/>
      <c r="BY176" s="240"/>
      <c r="BZ176" s="240"/>
      <c r="CA176" s="240"/>
      <c r="CB176" s="240"/>
      <c r="CC176" s="240"/>
      <c r="CD176" s="240"/>
      <c r="CE176" s="240"/>
      <c r="CF176" s="238"/>
      <c r="CG176" s="240"/>
      <c r="CH176" s="240"/>
      <c r="CI176" s="240"/>
      <c r="CJ176" s="240"/>
      <c r="CK176" s="240"/>
      <c r="CL176" s="240"/>
      <c r="CM176" s="240"/>
      <c r="CN176" s="240"/>
      <c r="CO176" s="240"/>
      <c r="CP176" s="240"/>
      <c r="CQ176" s="240"/>
      <c r="CR176" s="240"/>
      <c r="CS176" s="238"/>
      <c r="CT176" s="240"/>
      <c r="CU176" s="240"/>
      <c r="CV176" s="240"/>
      <c r="CW176" s="240"/>
      <c r="CX176" s="240"/>
      <c r="CY176" s="240"/>
      <c r="CZ176" s="240"/>
      <c r="DA176" s="240"/>
      <c r="DB176" s="240"/>
      <c r="DC176" s="240"/>
      <c r="DD176" s="240"/>
      <c r="DE176" s="240"/>
      <c r="DF176" s="238"/>
      <c r="DG176" s="240"/>
      <c r="DH176" s="240"/>
      <c r="DI176" s="240"/>
      <c r="DJ176" s="240"/>
      <c r="DK176" s="240"/>
      <c r="DL176" s="240"/>
      <c r="DM176" s="240"/>
      <c r="DN176" s="240"/>
      <c r="DO176" s="240"/>
      <c r="DP176" s="240"/>
      <c r="DQ176" s="240"/>
      <c r="DR176" s="238"/>
      <c r="DS176" s="240"/>
      <c r="DT176" s="240"/>
      <c r="DU176" s="240"/>
      <c r="DV176" s="238"/>
      <c r="DW176" s="240"/>
      <c r="DX176" s="240"/>
      <c r="DY176" s="240"/>
      <c r="DZ176" s="240"/>
      <c r="EA176" s="240"/>
      <c r="EB176" s="240"/>
      <c r="EC176" s="240"/>
      <c r="ED176" s="240"/>
      <c r="EE176" s="240"/>
      <c r="EF176" s="238"/>
      <c r="EG176" s="240"/>
      <c r="EH176" s="240"/>
      <c r="EI176" s="240"/>
      <c r="EJ176" s="238"/>
      <c r="EK176" s="240"/>
      <c r="EL176" s="238"/>
      <c r="EM176" s="240"/>
      <c r="EN176" s="240" t="s">
        <v>890</v>
      </c>
      <c r="EO176" s="240"/>
      <c r="EP176" s="240"/>
      <c r="EQ176" s="240"/>
      <c r="ER176" s="240"/>
      <c r="ES176" s="240"/>
      <c r="ET176" s="240"/>
      <c r="EU176" s="240"/>
      <c r="EV176" s="240"/>
      <c r="EW176" s="240"/>
      <c r="EX176" s="238"/>
      <c r="EY176" s="240"/>
      <c r="EZ176" s="240"/>
      <c r="FA176" s="240"/>
      <c r="FB176" s="240"/>
      <c r="FC176" s="240"/>
      <c r="FD176" s="240"/>
      <c r="FE176" s="240"/>
      <c r="FF176" s="240"/>
      <c r="FG176" s="240"/>
      <c r="FH176" s="240"/>
      <c r="FI176" s="240"/>
      <c r="FJ176" s="240"/>
      <c r="FK176" s="240"/>
      <c r="FL176" s="240"/>
      <c r="FM176" s="240"/>
      <c r="FN176" s="240"/>
      <c r="FO176" s="238"/>
      <c r="FP176" s="240"/>
      <c r="FQ176" s="240"/>
      <c r="FR176" s="240"/>
      <c r="FS176" s="240"/>
      <c r="FT176" s="240"/>
      <c r="FU176" s="240"/>
      <c r="FV176" s="240"/>
      <c r="FW176" s="240"/>
      <c r="FX176" s="240"/>
      <c r="FY176" s="240"/>
      <c r="FZ176" s="238"/>
      <c r="GA176" s="240"/>
      <c r="GB176" s="240"/>
      <c r="GC176" s="238"/>
      <c r="GD176" s="240"/>
      <c r="GE176" s="240"/>
      <c r="GF176" s="240"/>
      <c r="GG176" s="240"/>
      <c r="GH176" s="238"/>
      <c r="GI176" s="240"/>
      <c r="GJ176" s="240"/>
      <c r="GK176" s="240"/>
      <c r="GL176" s="240"/>
      <c r="GM176" s="238"/>
      <c r="GN176" s="240"/>
      <c r="GO176" s="240"/>
      <c r="GP176" s="240"/>
      <c r="GQ176" s="240"/>
      <c r="GR176" s="240"/>
      <c r="GS176" s="240"/>
      <c r="GT176" s="240"/>
      <c r="GU176" s="240"/>
      <c r="GV176" s="240"/>
      <c r="GW176" s="240"/>
      <c r="GX176" s="240"/>
      <c r="GY176" s="240"/>
      <c r="GZ176" s="240"/>
      <c r="HA176" s="240"/>
      <c r="HB176" s="240"/>
      <c r="HC176" s="240"/>
      <c r="HD176" s="238"/>
      <c r="HE176" s="240"/>
      <c r="HF176" s="240"/>
      <c r="HG176" s="240"/>
      <c r="HH176" s="240"/>
      <c r="HI176" s="240"/>
      <c r="HJ176" s="238"/>
      <c r="HK176" s="240"/>
      <c r="HL176" s="238"/>
      <c r="HM176" s="241"/>
      <c r="HN176" s="235"/>
      <c r="HO176" s="235"/>
      <c r="HP176" s="235"/>
      <c r="HQ176" s="235"/>
    </row>
    <row r="177" spans="2:225" hidden="1" outlineLevel="2">
      <c r="B177" s="251" t="s">
        <v>2072</v>
      </c>
      <c r="C177" s="288" t="str">
        <f>IF(OR(E174='3. Dropdowns'!C157,E170='3. Dropdowns'!C139,E170='3. Dropdowns'!C140,E170='3. Dropdowns'!C141,E170='3. Dropdowns'!C143),"Hide","Show")</f>
        <v>Show</v>
      </c>
      <c r="D177" s="289" t="s">
        <v>3266</v>
      </c>
      <c r="E177" s="248"/>
      <c r="F177" s="284" t="str">
        <f>IF(E177='3. Dropdowns'!C160,"","Submittals, Products, Execution")</f>
        <v>Submittals, Products, Execution</v>
      </c>
      <c r="G177" s="268"/>
      <c r="H177" s="238"/>
      <c r="I177" s="239"/>
      <c r="J177" s="240"/>
      <c r="K177" s="240"/>
      <c r="L177" s="240"/>
      <c r="M177" s="240"/>
      <c r="N177" s="240"/>
      <c r="O177" s="240"/>
      <c r="P177" s="240"/>
      <c r="Q177" s="240"/>
      <c r="R177" s="240"/>
      <c r="S177" s="240"/>
      <c r="T177" s="240" t="s">
        <v>890</v>
      </c>
      <c r="U177" s="240"/>
      <c r="V177" s="240"/>
      <c r="W177" s="240"/>
      <c r="X177" s="238"/>
      <c r="Y177" s="240"/>
      <c r="Z177" s="240"/>
      <c r="AA177" s="240"/>
      <c r="AB177" s="240"/>
      <c r="AC177" s="240"/>
      <c r="AD177" s="240"/>
      <c r="AE177" s="240"/>
      <c r="AF177" s="240"/>
      <c r="AG177" s="240"/>
      <c r="AH177" s="238"/>
      <c r="AI177" s="240"/>
      <c r="AJ177" s="240"/>
      <c r="AK177" s="240"/>
      <c r="AL177" s="240"/>
      <c r="AM177" s="238"/>
      <c r="AN177" s="240"/>
      <c r="AO177" s="240"/>
      <c r="AP177" s="240"/>
      <c r="AQ177" s="238"/>
      <c r="AR177" s="240"/>
      <c r="AS177" s="240"/>
      <c r="AT177" s="240"/>
      <c r="AU177" s="240"/>
      <c r="AV177" s="240"/>
      <c r="AW177" s="240"/>
      <c r="AX177" s="240"/>
      <c r="AY177" s="240"/>
      <c r="AZ177" s="238"/>
      <c r="BA177" s="240"/>
      <c r="BB177" s="240"/>
      <c r="BC177" s="240"/>
      <c r="BD177" s="240"/>
      <c r="BE177" s="240"/>
      <c r="BF177" s="240"/>
      <c r="BG177" s="240"/>
      <c r="BH177" s="240"/>
      <c r="BI177" s="240"/>
      <c r="BJ177" s="240"/>
      <c r="BK177" s="240"/>
      <c r="BL177" s="240"/>
      <c r="BM177" s="240"/>
      <c r="BN177" s="240"/>
      <c r="BO177" s="240"/>
      <c r="BP177" s="238"/>
      <c r="BQ177" s="240"/>
      <c r="BR177" s="240"/>
      <c r="BS177" s="240"/>
      <c r="BT177" s="240"/>
      <c r="BU177" s="240"/>
      <c r="BV177" s="240"/>
      <c r="BW177" s="240"/>
      <c r="BX177" s="240"/>
      <c r="BY177" s="240"/>
      <c r="BZ177" s="240"/>
      <c r="CA177" s="240"/>
      <c r="CB177" s="240"/>
      <c r="CC177" s="240"/>
      <c r="CD177" s="240"/>
      <c r="CE177" s="240"/>
      <c r="CF177" s="238"/>
      <c r="CG177" s="240"/>
      <c r="CH177" s="240"/>
      <c r="CI177" s="240"/>
      <c r="CJ177" s="240"/>
      <c r="CK177" s="240"/>
      <c r="CL177" s="240"/>
      <c r="CM177" s="240"/>
      <c r="CN177" s="240"/>
      <c r="CO177" s="240"/>
      <c r="CP177" s="240"/>
      <c r="CQ177" s="240"/>
      <c r="CR177" s="240"/>
      <c r="CS177" s="238"/>
      <c r="CT177" s="240"/>
      <c r="CU177" s="240"/>
      <c r="CV177" s="240"/>
      <c r="CW177" s="240"/>
      <c r="CX177" s="240"/>
      <c r="CY177" s="240"/>
      <c r="CZ177" s="240"/>
      <c r="DA177" s="240"/>
      <c r="DB177" s="240"/>
      <c r="DC177" s="240"/>
      <c r="DD177" s="240"/>
      <c r="DE177" s="240"/>
      <c r="DF177" s="238"/>
      <c r="DG177" s="240"/>
      <c r="DH177" s="240"/>
      <c r="DI177" s="240"/>
      <c r="DJ177" s="240"/>
      <c r="DK177" s="240"/>
      <c r="DL177" s="240"/>
      <c r="DM177" s="240"/>
      <c r="DN177" s="240"/>
      <c r="DO177" s="240"/>
      <c r="DP177" s="240"/>
      <c r="DQ177" s="240"/>
      <c r="DR177" s="238"/>
      <c r="DS177" s="240"/>
      <c r="DT177" s="240"/>
      <c r="DU177" s="240"/>
      <c r="DV177" s="238"/>
      <c r="DW177" s="240"/>
      <c r="DX177" s="240"/>
      <c r="DY177" s="240"/>
      <c r="DZ177" s="240"/>
      <c r="EA177" s="240"/>
      <c r="EB177" s="240"/>
      <c r="EC177" s="240"/>
      <c r="ED177" s="240"/>
      <c r="EE177" s="240"/>
      <c r="EF177" s="238"/>
      <c r="EG177" s="240"/>
      <c r="EH177" s="240"/>
      <c r="EI177" s="240"/>
      <c r="EJ177" s="238"/>
      <c r="EK177" s="240"/>
      <c r="EL177" s="238"/>
      <c r="EM177" s="240"/>
      <c r="EN177" s="240" t="s">
        <v>890</v>
      </c>
      <c r="EO177" s="240"/>
      <c r="EP177" s="240"/>
      <c r="EQ177" s="240"/>
      <c r="ER177" s="240"/>
      <c r="ES177" s="240"/>
      <c r="ET177" s="240"/>
      <c r="EU177" s="240"/>
      <c r="EV177" s="240"/>
      <c r="EW177" s="240"/>
      <c r="EX177" s="238"/>
      <c r="EY177" s="240"/>
      <c r="EZ177" s="240"/>
      <c r="FA177" s="240"/>
      <c r="FB177" s="240"/>
      <c r="FC177" s="240"/>
      <c r="FD177" s="240"/>
      <c r="FE177" s="240"/>
      <c r="FF177" s="240"/>
      <c r="FG177" s="240"/>
      <c r="FH177" s="240"/>
      <c r="FI177" s="240"/>
      <c r="FJ177" s="240"/>
      <c r="FK177" s="240"/>
      <c r="FL177" s="240"/>
      <c r="FM177" s="240"/>
      <c r="FN177" s="240"/>
      <c r="FO177" s="238"/>
      <c r="FP177" s="240"/>
      <c r="FQ177" s="240"/>
      <c r="FR177" s="240"/>
      <c r="FS177" s="240"/>
      <c r="FT177" s="240"/>
      <c r="FU177" s="240"/>
      <c r="FV177" s="240"/>
      <c r="FW177" s="240"/>
      <c r="FX177" s="240"/>
      <c r="FY177" s="240"/>
      <c r="FZ177" s="238"/>
      <c r="GA177" s="240"/>
      <c r="GB177" s="240"/>
      <c r="GC177" s="238"/>
      <c r="GD177" s="240"/>
      <c r="GE177" s="240"/>
      <c r="GF177" s="240"/>
      <c r="GG177" s="240"/>
      <c r="GH177" s="238"/>
      <c r="GI177" s="240"/>
      <c r="GJ177" s="240"/>
      <c r="GK177" s="240"/>
      <c r="GL177" s="240"/>
      <c r="GM177" s="238"/>
      <c r="GN177" s="240"/>
      <c r="GO177" s="240"/>
      <c r="GP177" s="240"/>
      <c r="GQ177" s="240"/>
      <c r="GR177" s="240"/>
      <c r="GS177" s="240"/>
      <c r="GT177" s="240"/>
      <c r="GU177" s="240"/>
      <c r="GV177" s="240"/>
      <c r="GW177" s="240"/>
      <c r="GX177" s="240"/>
      <c r="GY177" s="240"/>
      <c r="GZ177" s="240"/>
      <c r="HA177" s="240"/>
      <c r="HB177" s="240"/>
      <c r="HC177" s="240"/>
      <c r="HD177" s="238"/>
      <c r="HE177" s="240"/>
      <c r="HF177" s="240"/>
      <c r="HG177" s="240"/>
      <c r="HH177" s="240"/>
      <c r="HI177" s="240"/>
      <c r="HJ177" s="238"/>
      <c r="HK177" s="240"/>
      <c r="HL177" s="238"/>
      <c r="HM177" s="241"/>
      <c r="HN177" s="235"/>
      <c r="HO177" s="235"/>
      <c r="HP177" s="235"/>
      <c r="HQ177" s="235"/>
    </row>
    <row r="178" spans="2:225" hidden="1" outlineLevel="2">
      <c r="B178" s="251" t="s">
        <v>2072</v>
      </c>
      <c r="C178" s="288" t="str">
        <f>IF(OR(E174='3. Dropdowns'!C157,E170='3. Dropdowns'!C139,E170='3. Dropdowns'!C140,E170='3. Dropdowns'!C141,E170='3. Dropdowns'!C143),"Hide","Show")</f>
        <v>Show</v>
      </c>
      <c r="D178" s="289" t="s">
        <v>3267</v>
      </c>
      <c r="E178" s="248"/>
      <c r="F178" s="284" t="str">
        <f>IF(E178='3. Dropdowns'!C160,"","Submittals, Products, Execution")</f>
        <v>Submittals, Products, Execution</v>
      </c>
      <c r="G178" s="268"/>
      <c r="H178" s="238"/>
      <c r="I178" s="239"/>
      <c r="J178" s="240"/>
      <c r="K178" s="240"/>
      <c r="L178" s="240"/>
      <c r="M178" s="240"/>
      <c r="N178" s="240"/>
      <c r="O178" s="240"/>
      <c r="P178" s="240"/>
      <c r="Q178" s="240"/>
      <c r="R178" s="240"/>
      <c r="S178" s="240"/>
      <c r="T178" s="240" t="s">
        <v>890</v>
      </c>
      <c r="U178" s="240"/>
      <c r="V178" s="240"/>
      <c r="W178" s="240"/>
      <c r="X178" s="238"/>
      <c r="Y178" s="240"/>
      <c r="Z178" s="240"/>
      <c r="AA178" s="240"/>
      <c r="AB178" s="240"/>
      <c r="AC178" s="240"/>
      <c r="AD178" s="240"/>
      <c r="AE178" s="240"/>
      <c r="AF178" s="240"/>
      <c r="AG178" s="240"/>
      <c r="AH178" s="238"/>
      <c r="AI178" s="240"/>
      <c r="AJ178" s="240"/>
      <c r="AK178" s="240"/>
      <c r="AL178" s="240"/>
      <c r="AM178" s="238"/>
      <c r="AN178" s="240"/>
      <c r="AO178" s="240"/>
      <c r="AP178" s="240"/>
      <c r="AQ178" s="238"/>
      <c r="AR178" s="240"/>
      <c r="AS178" s="240"/>
      <c r="AT178" s="240"/>
      <c r="AU178" s="240"/>
      <c r="AV178" s="240"/>
      <c r="AW178" s="240"/>
      <c r="AX178" s="240"/>
      <c r="AY178" s="240"/>
      <c r="AZ178" s="238"/>
      <c r="BA178" s="240"/>
      <c r="BB178" s="240"/>
      <c r="BC178" s="240"/>
      <c r="BD178" s="240"/>
      <c r="BE178" s="240"/>
      <c r="BF178" s="240"/>
      <c r="BG178" s="240"/>
      <c r="BH178" s="240"/>
      <c r="BI178" s="240"/>
      <c r="BJ178" s="240"/>
      <c r="BK178" s="240"/>
      <c r="BL178" s="240"/>
      <c r="BM178" s="240"/>
      <c r="BN178" s="240"/>
      <c r="BO178" s="240"/>
      <c r="BP178" s="238"/>
      <c r="BQ178" s="240"/>
      <c r="BR178" s="240"/>
      <c r="BS178" s="240"/>
      <c r="BT178" s="240"/>
      <c r="BU178" s="240"/>
      <c r="BV178" s="240"/>
      <c r="BW178" s="240"/>
      <c r="BX178" s="240"/>
      <c r="BY178" s="240"/>
      <c r="BZ178" s="240"/>
      <c r="CA178" s="240"/>
      <c r="CB178" s="240"/>
      <c r="CC178" s="240"/>
      <c r="CD178" s="240"/>
      <c r="CE178" s="240"/>
      <c r="CF178" s="238"/>
      <c r="CG178" s="240"/>
      <c r="CH178" s="240"/>
      <c r="CI178" s="240"/>
      <c r="CJ178" s="240"/>
      <c r="CK178" s="240"/>
      <c r="CL178" s="240"/>
      <c r="CM178" s="240"/>
      <c r="CN178" s="240"/>
      <c r="CO178" s="240"/>
      <c r="CP178" s="240"/>
      <c r="CQ178" s="240"/>
      <c r="CR178" s="240"/>
      <c r="CS178" s="238"/>
      <c r="CT178" s="240"/>
      <c r="CU178" s="240"/>
      <c r="CV178" s="240"/>
      <c r="CW178" s="240"/>
      <c r="CX178" s="240"/>
      <c r="CY178" s="240"/>
      <c r="CZ178" s="240"/>
      <c r="DA178" s="240"/>
      <c r="DB178" s="240"/>
      <c r="DC178" s="240"/>
      <c r="DD178" s="240"/>
      <c r="DE178" s="240"/>
      <c r="DF178" s="238"/>
      <c r="DG178" s="240"/>
      <c r="DH178" s="240"/>
      <c r="DI178" s="240"/>
      <c r="DJ178" s="240"/>
      <c r="DK178" s="240"/>
      <c r="DL178" s="240"/>
      <c r="DM178" s="240"/>
      <c r="DN178" s="240"/>
      <c r="DO178" s="240"/>
      <c r="DP178" s="240"/>
      <c r="DQ178" s="240"/>
      <c r="DR178" s="238"/>
      <c r="DS178" s="240"/>
      <c r="DT178" s="240"/>
      <c r="DU178" s="240"/>
      <c r="DV178" s="238"/>
      <c r="DW178" s="240"/>
      <c r="DX178" s="240"/>
      <c r="DY178" s="240"/>
      <c r="DZ178" s="240"/>
      <c r="EA178" s="240"/>
      <c r="EB178" s="240"/>
      <c r="EC178" s="240"/>
      <c r="ED178" s="240"/>
      <c r="EE178" s="240"/>
      <c r="EF178" s="238"/>
      <c r="EG178" s="240"/>
      <c r="EH178" s="240"/>
      <c r="EI178" s="240"/>
      <c r="EJ178" s="238"/>
      <c r="EK178" s="240"/>
      <c r="EL178" s="238"/>
      <c r="EM178" s="240"/>
      <c r="EN178" s="240" t="s">
        <v>890</v>
      </c>
      <c r="EO178" s="240"/>
      <c r="EP178" s="240"/>
      <c r="EQ178" s="240"/>
      <c r="ER178" s="240"/>
      <c r="ES178" s="240"/>
      <c r="ET178" s="240"/>
      <c r="EU178" s="240"/>
      <c r="EV178" s="240"/>
      <c r="EW178" s="240"/>
      <c r="EX178" s="238"/>
      <c r="EY178" s="240"/>
      <c r="EZ178" s="240"/>
      <c r="FA178" s="240"/>
      <c r="FB178" s="240"/>
      <c r="FC178" s="240"/>
      <c r="FD178" s="240"/>
      <c r="FE178" s="240"/>
      <c r="FF178" s="240"/>
      <c r="FG178" s="240"/>
      <c r="FH178" s="240"/>
      <c r="FI178" s="240"/>
      <c r="FJ178" s="240"/>
      <c r="FK178" s="240"/>
      <c r="FL178" s="240"/>
      <c r="FM178" s="240"/>
      <c r="FN178" s="240"/>
      <c r="FO178" s="238"/>
      <c r="FP178" s="240"/>
      <c r="FQ178" s="240"/>
      <c r="FR178" s="240"/>
      <c r="FS178" s="240"/>
      <c r="FT178" s="240"/>
      <c r="FU178" s="240"/>
      <c r="FV178" s="240"/>
      <c r="FW178" s="240"/>
      <c r="FX178" s="240"/>
      <c r="FY178" s="240"/>
      <c r="FZ178" s="238"/>
      <c r="GA178" s="240"/>
      <c r="GB178" s="240"/>
      <c r="GC178" s="238"/>
      <c r="GD178" s="240"/>
      <c r="GE178" s="240"/>
      <c r="GF178" s="240"/>
      <c r="GG178" s="240"/>
      <c r="GH178" s="238"/>
      <c r="GI178" s="240"/>
      <c r="GJ178" s="240"/>
      <c r="GK178" s="240"/>
      <c r="GL178" s="240"/>
      <c r="GM178" s="238"/>
      <c r="GN178" s="240"/>
      <c r="GO178" s="240"/>
      <c r="GP178" s="240"/>
      <c r="GQ178" s="240"/>
      <c r="GR178" s="240"/>
      <c r="GS178" s="240"/>
      <c r="GT178" s="240"/>
      <c r="GU178" s="240"/>
      <c r="GV178" s="240"/>
      <c r="GW178" s="240"/>
      <c r="GX178" s="240"/>
      <c r="GY178" s="240"/>
      <c r="GZ178" s="240"/>
      <c r="HA178" s="240"/>
      <c r="HB178" s="240"/>
      <c r="HC178" s="240"/>
      <c r="HD178" s="238"/>
      <c r="HE178" s="240"/>
      <c r="HF178" s="240"/>
      <c r="HG178" s="240"/>
      <c r="HH178" s="240"/>
      <c r="HI178" s="240"/>
      <c r="HJ178" s="238"/>
      <c r="HK178" s="240"/>
      <c r="HL178" s="238"/>
      <c r="HM178" s="241"/>
      <c r="HN178" s="235"/>
      <c r="HO178" s="235"/>
      <c r="HP178" s="235"/>
      <c r="HQ178" s="235"/>
    </row>
    <row r="179" spans="2:225" ht="37.5" hidden="1" outlineLevel="2">
      <c r="B179" s="251" t="s">
        <v>2072</v>
      </c>
      <c r="C179" s="288" t="str">
        <f>IF(OR(E174='3. Dropdowns'!C157,E170='3. Dropdowns'!C139,E170='3. Dropdowns'!C140,E170='3. Dropdowns'!C141,E170='3. Dropdowns'!C143),"Hide","Show")</f>
        <v>Show</v>
      </c>
      <c r="D179" s="289" t="s">
        <v>3268</v>
      </c>
      <c r="E179" s="248"/>
      <c r="F179" s="284" t="str">
        <f>IF(E179='3. Dropdowns'!C160,"","Submittals, Products, Execution")</f>
        <v>Submittals, Products, Execution</v>
      </c>
      <c r="G179" s="268"/>
      <c r="H179" s="238"/>
      <c r="I179" s="239"/>
      <c r="J179" s="240"/>
      <c r="K179" s="240"/>
      <c r="L179" s="240"/>
      <c r="M179" s="240"/>
      <c r="N179" s="240"/>
      <c r="O179" s="240"/>
      <c r="P179" s="240"/>
      <c r="Q179" s="240"/>
      <c r="R179" s="240"/>
      <c r="S179" s="240"/>
      <c r="T179" s="240" t="s">
        <v>890</v>
      </c>
      <c r="U179" s="240"/>
      <c r="V179" s="240"/>
      <c r="W179" s="240"/>
      <c r="X179" s="238"/>
      <c r="Y179" s="240"/>
      <c r="Z179" s="240"/>
      <c r="AA179" s="240"/>
      <c r="AB179" s="240"/>
      <c r="AC179" s="240"/>
      <c r="AD179" s="240"/>
      <c r="AE179" s="240"/>
      <c r="AF179" s="240"/>
      <c r="AG179" s="240"/>
      <c r="AH179" s="238"/>
      <c r="AI179" s="240"/>
      <c r="AJ179" s="240"/>
      <c r="AK179" s="240"/>
      <c r="AL179" s="240"/>
      <c r="AM179" s="238"/>
      <c r="AN179" s="240"/>
      <c r="AO179" s="240"/>
      <c r="AP179" s="240"/>
      <c r="AQ179" s="238"/>
      <c r="AR179" s="240"/>
      <c r="AS179" s="240"/>
      <c r="AT179" s="240"/>
      <c r="AU179" s="240"/>
      <c r="AV179" s="240"/>
      <c r="AW179" s="240"/>
      <c r="AX179" s="240"/>
      <c r="AY179" s="240"/>
      <c r="AZ179" s="238"/>
      <c r="BA179" s="240"/>
      <c r="BB179" s="240"/>
      <c r="BC179" s="240"/>
      <c r="BD179" s="240"/>
      <c r="BE179" s="240"/>
      <c r="BF179" s="240"/>
      <c r="BG179" s="240"/>
      <c r="BH179" s="240"/>
      <c r="BI179" s="240"/>
      <c r="BJ179" s="240"/>
      <c r="BK179" s="240"/>
      <c r="BL179" s="240"/>
      <c r="BM179" s="240"/>
      <c r="BN179" s="240"/>
      <c r="BO179" s="240"/>
      <c r="BP179" s="238"/>
      <c r="BQ179" s="240"/>
      <c r="BR179" s="240"/>
      <c r="BS179" s="240"/>
      <c r="BT179" s="240"/>
      <c r="BU179" s="240"/>
      <c r="BV179" s="240"/>
      <c r="BW179" s="240"/>
      <c r="BX179" s="240"/>
      <c r="BY179" s="240"/>
      <c r="BZ179" s="240"/>
      <c r="CA179" s="240"/>
      <c r="CB179" s="240"/>
      <c r="CC179" s="240"/>
      <c r="CD179" s="240"/>
      <c r="CE179" s="240"/>
      <c r="CF179" s="238"/>
      <c r="CG179" s="240"/>
      <c r="CH179" s="240"/>
      <c r="CI179" s="240"/>
      <c r="CJ179" s="240"/>
      <c r="CK179" s="240"/>
      <c r="CL179" s="240"/>
      <c r="CM179" s="240"/>
      <c r="CN179" s="240"/>
      <c r="CO179" s="240"/>
      <c r="CP179" s="240"/>
      <c r="CQ179" s="240"/>
      <c r="CR179" s="240"/>
      <c r="CS179" s="238"/>
      <c r="CT179" s="240"/>
      <c r="CU179" s="240"/>
      <c r="CV179" s="240"/>
      <c r="CW179" s="240"/>
      <c r="CX179" s="240"/>
      <c r="CY179" s="240"/>
      <c r="CZ179" s="240"/>
      <c r="DA179" s="240"/>
      <c r="DB179" s="240"/>
      <c r="DC179" s="240"/>
      <c r="DD179" s="240"/>
      <c r="DE179" s="240"/>
      <c r="DF179" s="238"/>
      <c r="DG179" s="240"/>
      <c r="DH179" s="240"/>
      <c r="DI179" s="240"/>
      <c r="DJ179" s="240"/>
      <c r="DK179" s="240"/>
      <c r="DL179" s="240"/>
      <c r="DM179" s="240"/>
      <c r="DN179" s="240"/>
      <c r="DO179" s="240"/>
      <c r="DP179" s="240"/>
      <c r="DQ179" s="240"/>
      <c r="DR179" s="238"/>
      <c r="DS179" s="240"/>
      <c r="DT179" s="240"/>
      <c r="DU179" s="240"/>
      <c r="DV179" s="238"/>
      <c r="DW179" s="240"/>
      <c r="DX179" s="240"/>
      <c r="DY179" s="240"/>
      <c r="DZ179" s="240"/>
      <c r="EA179" s="240"/>
      <c r="EB179" s="240"/>
      <c r="EC179" s="240"/>
      <c r="ED179" s="240"/>
      <c r="EE179" s="240"/>
      <c r="EF179" s="238"/>
      <c r="EG179" s="240"/>
      <c r="EH179" s="240"/>
      <c r="EI179" s="240"/>
      <c r="EJ179" s="238"/>
      <c r="EK179" s="240"/>
      <c r="EL179" s="238"/>
      <c r="EM179" s="240"/>
      <c r="EN179" s="240" t="s">
        <v>890</v>
      </c>
      <c r="EO179" s="240"/>
      <c r="EP179" s="240"/>
      <c r="EQ179" s="240"/>
      <c r="ER179" s="240"/>
      <c r="ES179" s="240"/>
      <c r="ET179" s="240"/>
      <c r="EU179" s="240"/>
      <c r="EV179" s="240"/>
      <c r="EW179" s="240"/>
      <c r="EX179" s="238"/>
      <c r="EY179" s="240"/>
      <c r="EZ179" s="240"/>
      <c r="FA179" s="240"/>
      <c r="FB179" s="240"/>
      <c r="FC179" s="240"/>
      <c r="FD179" s="240"/>
      <c r="FE179" s="240"/>
      <c r="FF179" s="240"/>
      <c r="FG179" s="240"/>
      <c r="FH179" s="240"/>
      <c r="FI179" s="240"/>
      <c r="FJ179" s="240"/>
      <c r="FK179" s="240"/>
      <c r="FL179" s="240"/>
      <c r="FM179" s="240"/>
      <c r="FN179" s="240"/>
      <c r="FO179" s="238"/>
      <c r="FP179" s="240"/>
      <c r="FQ179" s="240"/>
      <c r="FR179" s="240"/>
      <c r="FS179" s="240"/>
      <c r="FT179" s="240"/>
      <c r="FU179" s="240"/>
      <c r="FV179" s="240"/>
      <c r="FW179" s="240"/>
      <c r="FX179" s="240"/>
      <c r="FY179" s="240"/>
      <c r="FZ179" s="238"/>
      <c r="GA179" s="240"/>
      <c r="GB179" s="240"/>
      <c r="GC179" s="238"/>
      <c r="GD179" s="240"/>
      <c r="GE179" s="240"/>
      <c r="GF179" s="240"/>
      <c r="GG179" s="240"/>
      <c r="GH179" s="238"/>
      <c r="GI179" s="240"/>
      <c r="GJ179" s="240"/>
      <c r="GK179" s="240"/>
      <c r="GL179" s="240"/>
      <c r="GM179" s="238"/>
      <c r="GN179" s="240"/>
      <c r="GO179" s="240"/>
      <c r="GP179" s="240"/>
      <c r="GQ179" s="240"/>
      <c r="GR179" s="240"/>
      <c r="GS179" s="240"/>
      <c r="GT179" s="240"/>
      <c r="GU179" s="240"/>
      <c r="GV179" s="240"/>
      <c r="GW179" s="240"/>
      <c r="GX179" s="240"/>
      <c r="GY179" s="240"/>
      <c r="GZ179" s="240"/>
      <c r="HA179" s="240"/>
      <c r="HB179" s="240"/>
      <c r="HC179" s="240"/>
      <c r="HD179" s="238"/>
      <c r="HE179" s="240"/>
      <c r="HF179" s="240"/>
      <c r="HG179" s="240"/>
      <c r="HH179" s="240"/>
      <c r="HI179" s="240"/>
      <c r="HJ179" s="238"/>
      <c r="HK179" s="240"/>
      <c r="HL179" s="238"/>
      <c r="HM179" s="241"/>
      <c r="HN179" s="235"/>
      <c r="HO179" s="235"/>
      <c r="HP179" s="235"/>
      <c r="HQ179" s="235"/>
    </row>
    <row r="180" spans="2:225" hidden="1" outlineLevel="1" collapsed="1">
      <c r="B180" s="275"/>
      <c r="C180" s="258" t="s">
        <v>116</v>
      </c>
      <c r="D180" s="236" t="s">
        <v>3269</v>
      </c>
      <c r="E180" s="248" t="s">
        <v>3001</v>
      </c>
      <c r="F180" s="284" t="str">
        <f>IF(E180="Criterion 4.5 not used.","","Submittals, Products, Execution")</f>
        <v>Submittals, Products, Execution</v>
      </c>
      <c r="G180" s="268"/>
      <c r="H180" s="238"/>
      <c r="I180" s="239" t="s">
        <v>890</v>
      </c>
      <c r="J180" s="240" t="s">
        <v>890</v>
      </c>
      <c r="K180" s="240"/>
      <c r="L180" s="240"/>
      <c r="M180" s="240"/>
      <c r="N180" s="240"/>
      <c r="O180" s="240"/>
      <c r="P180" s="240"/>
      <c r="Q180" s="240"/>
      <c r="R180" s="240"/>
      <c r="S180" s="240"/>
      <c r="T180" s="240" t="s">
        <v>890</v>
      </c>
      <c r="U180" s="240"/>
      <c r="V180" s="240"/>
      <c r="W180" s="240"/>
      <c r="X180" s="238"/>
      <c r="Y180" s="240"/>
      <c r="Z180" s="240"/>
      <c r="AA180" s="240"/>
      <c r="AB180" s="240"/>
      <c r="AC180" s="240"/>
      <c r="AD180" s="240"/>
      <c r="AE180" s="240"/>
      <c r="AF180" s="240"/>
      <c r="AG180" s="240"/>
      <c r="AH180" s="238"/>
      <c r="AI180" s="240"/>
      <c r="AJ180" s="240"/>
      <c r="AK180" s="240"/>
      <c r="AL180" s="240"/>
      <c r="AM180" s="238"/>
      <c r="AN180" s="240"/>
      <c r="AO180" s="240"/>
      <c r="AP180" s="240"/>
      <c r="AQ180" s="238"/>
      <c r="AR180" s="240"/>
      <c r="AS180" s="240"/>
      <c r="AT180" s="240"/>
      <c r="AU180" s="240"/>
      <c r="AV180" s="240"/>
      <c r="AW180" s="240"/>
      <c r="AX180" s="240"/>
      <c r="AY180" s="240"/>
      <c r="AZ180" s="238"/>
      <c r="BA180" s="240"/>
      <c r="BB180" s="240"/>
      <c r="BC180" s="240"/>
      <c r="BD180" s="240"/>
      <c r="BE180" s="240"/>
      <c r="BF180" s="240"/>
      <c r="BG180" s="240"/>
      <c r="BH180" s="240"/>
      <c r="BI180" s="240"/>
      <c r="BJ180" s="240"/>
      <c r="BK180" s="240"/>
      <c r="BL180" s="240"/>
      <c r="BM180" s="240"/>
      <c r="BN180" s="240"/>
      <c r="BO180" s="240"/>
      <c r="BP180" s="238"/>
      <c r="BQ180" s="240"/>
      <c r="BR180" s="240"/>
      <c r="BS180" s="240"/>
      <c r="BT180" s="240"/>
      <c r="BU180" s="240"/>
      <c r="BV180" s="240"/>
      <c r="BW180" s="240"/>
      <c r="BX180" s="240"/>
      <c r="BY180" s="240"/>
      <c r="BZ180" s="240"/>
      <c r="CA180" s="240"/>
      <c r="CB180" s="240"/>
      <c r="CC180" s="240"/>
      <c r="CD180" s="240"/>
      <c r="CE180" s="240"/>
      <c r="CF180" s="238"/>
      <c r="CG180" s="240"/>
      <c r="CH180" s="240"/>
      <c r="CI180" s="240"/>
      <c r="CJ180" s="240"/>
      <c r="CK180" s="240"/>
      <c r="CL180" s="240"/>
      <c r="CM180" s="240"/>
      <c r="CN180" s="240"/>
      <c r="CO180" s="240"/>
      <c r="CP180" s="240"/>
      <c r="CQ180" s="240"/>
      <c r="CR180" s="240"/>
      <c r="CS180" s="238"/>
      <c r="CT180" s="240"/>
      <c r="CU180" s="240"/>
      <c r="CV180" s="240"/>
      <c r="CW180" s="240"/>
      <c r="CX180" s="240"/>
      <c r="CY180" s="240"/>
      <c r="CZ180" s="240"/>
      <c r="DA180" s="240"/>
      <c r="DB180" s="240"/>
      <c r="DC180" s="240"/>
      <c r="DD180" s="240"/>
      <c r="DE180" s="240"/>
      <c r="DF180" s="238"/>
      <c r="DG180" s="240"/>
      <c r="DH180" s="240"/>
      <c r="DI180" s="240"/>
      <c r="DJ180" s="240"/>
      <c r="DK180" s="240"/>
      <c r="DL180" s="240"/>
      <c r="DM180" s="240"/>
      <c r="DN180" s="240"/>
      <c r="DO180" s="240"/>
      <c r="DP180" s="240"/>
      <c r="DQ180" s="240"/>
      <c r="DR180" s="238"/>
      <c r="DS180" s="240"/>
      <c r="DT180" s="240"/>
      <c r="DU180" s="240"/>
      <c r="DV180" s="238"/>
      <c r="DW180" s="240"/>
      <c r="DX180" s="240"/>
      <c r="DY180" s="240"/>
      <c r="DZ180" s="240"/>
      <c r="EA180" s="240"/>
      <c r="EB180" s="240"/>
      <c r="EC180" s="240"/>
      <c r="ED180" s="240"/>
      <c r="EE180" s="240"/>
      <c r="EF180" s="238"/>
      <c r="EG180" s="240"/>
      <c r="EH180" s="240"/>
      <c r="EI180" s="240"/>
      <c r="EJ180" s="238"/>
      <c r="EK180" s="240"/>
      <c r="EL180" s="238"/>
      <c r="EM180" s="240"/>
      <c r="EN180" s="240"/>
      <c r="EO180" s="240" t="s">
        <v>890</v>
      </c>
      <c r="EP180" s="240" t="s">
        <v>890</v>
      </c>
      <c r="EQ180" s="240" t="s">
        <v>890</v>
      </c>
      <c r="ER180" s="240"/>
      <c r="ES180" s="240"/>
      <c r="ET180" s="240"/>
      <c r="EU180" s="240"/>
      <c r="EV180" s="240" t="s">
        <v>890</v>
      </c>
      <c r="EW180" s="240"/>
      <c r="EX180" s="238"/>
      <c r="EY180" s="240"/>
      <c r="EZ180" s="240"/>
      <c r="FA180" s="240"/>
      <c r="FB180" s="240"/>
      <c r="FC180" s="240"/>
      <c r="FD180" s="240"/>
      <c r="FE180" s="240"/>
      <c r="FF180" s="240"/>
      <c r="FG180" s="240"/>
      <c r="FH180" s="240"/>
      <c r="FI180" s="240"/>
      <c r="FJ180" s="240"/>
      <c r="FK180" s="240"/>
      <c r="FL180" s="240"/>
      <c r="FM180" s="240"/>
      <c r="FN180" s="240"/>
      <c r="FO180" s="238"/>
      <c r="FP180" s="240"/>
      <c r="FQ180" s="240"/>
      <c r="FR180" s="240"/>
      <c r="FS180" s="240"/>
      <c r="FT180" s="240"/>
      <c r="FU180" s="240"/>
      <c r="FV180" s="240"/>
      <c r="FW180" s="240"/>
      <c r="FX180" s="240"/>
      <c r="FY180" s="240"/>
      <c r="FZ180" s="238"/>
      <c r="GA180" s="240"/>
      <c r="GB180" s="240"/>
      <c r="GC180" s="238"/>
      <c r="GD180" s="240"/>
      <c r="GE180" s="240"/>
      <c r="GF180" s="240"/>
      <c r="GG180" s="240"/>
      <c r="GH180" s="238"/>
      <c r="GI180" s="240"/>
      <c r="GJ180" s="240"/>
      <c r="GK180" s="240"/>
      <c r="GL180" s="240"/>
      <c r="GM180" s="238"/>
      <c r="GN180" s="240"/>
      <c r="GO180" s="240"/>
      <c r="GP180" s="240"/>
      <c r="GQ180" s="240"/>
      <c r="GR180" s="240"/>
      <c r="GS180" s="240"/>
      <c r="GT180" s="240"/>
      <c r="GU180" s="240"/>
      <c r="GV180" s="240"/>
      <c r="GW180" s="240"/>
      <c r="GX180" s="240"/>
      <c r="GY180" s="240"/>
      <c r="GZ180" s="240"/>
      <c r="HA180" s="240"/>
      <c r="HB180" s="240"/>
      <c r="HC180" s="240"/>
      <c r="HD180" s="238"/>
      <c r="HE180" s="240"/>
      <c r="HF180" s="240"/>
      <c r="HG180" s="240"/>
      <c r="HH180" s="240"/>
      <c r="HI180" s="240"/>
      <c r="HJ180" s="238"/>
      <c r="HK180" s="240"/>
      <c r="HL180" s="238"/>
      <c r="HM180" s="241"/>
      <c r="HN180" s="235"/>
      <c r="HO180" s="235"/>
      <c r="HP180" s="235"/>
      <c r="HQ180" s="235"/>
    </row>
    <row r="181" spans="2:225" hidden="1" outlineLevel="1">
      <c r="B181" s="275"/>
      <c r="C181" s="258" t="s">
        <v>116</v>
      </c>
      <c r="D181" s="236" t="s">
        <v>3270</v>
      </c>
      <c r="E181" s="248"/>
      <c r="F181" s="284" t="str">
        <f>IF(E181='3. Dropdowns'!C166,"","Submittals, Products")</f>
        <v>Submittals, Products</v>
      </c>
      <c r="G181" s="268"/>
      <c r="H181" s="238"/>
      <c r="I181" s="239"/>
      <c r="J181" s="240"/>
      <c r="K181" s="240"/>
      <c r="L181" s="240"/>
      <c r="M181" s="240"/>
      <c r="N181" s="240"/>
      <c r="O181" s="240"/>
      <c r="P181" s="240"/>
      <c r="Q181" s="240"/>
      <c r="R181" s="240"/>
      <c r="S181" s="240"/>
      <c r="T181" s="240" t="s">
        <v>890</v>
      </c>
      <c r="U181" s="240"/>
      <c r="V181" s="240"/>
      <c r="W181" s="240"/>
      <c r="X181" s="238"/>
      <c r="Y181" s="240"/>
      <c r="Z181" s="240"/>
      <c r="AA181" s="240"/>
      <c r="AB181" s="240"/>
      <c r="AC181" s="240"/>
      <c r="AD181" s="240"/>
      <c r="AE181" s="240"/>
      <c r="AF181" s="240"/>
      <c r="AG181" s="240"/>
      <c r="AH181" s="238"/>
      <c r="AI181" s="240"/>
      <c r="AJ181" s="240"/>
      <c r="AK181" s="240"/>
      <c r="AL181" s="240"/>
      <c r="AM181" s="238"/>
      <c r="AN181" s="240"/>
      <c r="AO181" s="240"/>
      <c r="AP181" s="240"/>
      <c r="AQ181" s="238"/>
      <c r="AR181" s="240"/>
      <c r="AS181" s="240"/>
      <c r="AT181" s="240"/>
      <c r="AU181" s="240"/>
      <c r="AV181" s="240"/>
      <c r="AW181" s="240"/>
      <c r="AX181" s="240"/>
      <c r="AY181" s="240"/>
      <c r="AZ181" s="238"/>
      <c r="BA181" s="240"/>
      <c r="BB181" s="240"/>
      <c r="BC181" s="240"/>
      <c r="BD181" s="240"/>
      <c r="BE181" s="240"/>
      <c r="BF181" s="240"/>
      <c r="BG181" s="240"/>
      <c r="BH181" s="240"/>
      <c r="BI181" s="240"/>
      <c r="BJ181" s="240"/>
      <c r="BK181" s="240"/>
      <c r="BL181" s="240"/>
      <c r="BM181" s="240"/>
      <c r="BN181" s="240"/>
      <c r="BO181" s="240"/>
      <c r="BP181" s="238"/>
      <c r="BQ181" s="240"/>
      <c r="BR181" s="240"/>
      <c r="BS181" s="240"/>
      <c r="BT181" s="240"/>
      <c r="BU181" s="240"/>
      <c r="BV181" s="240"/>
      <c r="BW181" s="240"/>
      <c r="BX181" s="240"/>
      <c r="BY181" s="240"/>
      <c r="BZ181" s="240"/>
      <c r="CA181" s="240"/>
      <c r="CB181" s="240"/>
      <c r="CC181" s="240"/>
      <c r="CD181" s="240"/>
      <c r="CE181" s="240"/>
      <c r="CF181" s="238"/>
      <c r="CG181" s="240"/>
      <c r="CH181" s="240"/>
      <c r="CI181" s="240"/>
      <c r="CJ181" s="240"/>
      <c r="CK181" s="240"/>
      <c r="CL181" s="240"/>
      <c r="CM181" s="240"/>
      <c r="CN181" s="240"/>
      <c r="CO181" s="240"/>
      <c r="CP181" s="240"/>
      <c r="CQ181" s="240"/>
      <c r="CR181" s="240"/>
      <c r="CS181" s="238"/>
      <c r="CT181" s="240"/>
      <c r="CU181" s="240"/>
      <c r="CV181" s="240"/>
      <c r="CW181" s="240"/>
      <c r="CX181" s="240"/>
      <c r="CY181" s="240"/>
      <c r="CZ181" s="240"/>
      <c r="DA181" s="240"/>
      <c r="DB181" s="240"/>
      <c r="DC181" s="240"/>
      <c r="DD181" s="240"/>
      <c r="DE181" s="240"/>
      <c r="DF181" s="238"/>
      <c r="DG181" s="240"/>
      <c r="DH181" s="240"/>
      <c r="DI181" s="240"/>
      <c r="DJ181" s="240"/>
      <c r="DK181" s="240"/>
      <c r="DL181" s="240"/>
      <c r="DM181" s="240"/>
      <c r="DN181" s="240"/>
      <c r="DO181" s="240"/>
      <c r="DP181" s="240"/>
      <c r="DQ181" s="240"/>
      <c r="DR181" s="238"/>
      <c r="DS181" s="240"/>
      <c r="DT181" s="240"/>
      <c r="DU181" s="240"/>
      <c r="DV181" s="238"/>
      <c r="DW181" s="240"/>
      <c r="DX181" s="240"/>
      <c r="DY181" s="240"/>
      <c r="DZ181" s="240"/>
      <c r="EA181" s="240"/>
      <c r="EB181" s="240"/>
      <c r="EC181" s="240"/>
      <c r="ED181" s="240"/>
      <c r="EE181" s="240"/>
      <c r="EF181" s="238"/>
      <c r="EG181" s="240"/>
      <c r="EH181" s="240"/>
      <c r="EI181" s="240"/>
      <c r="EJ181" s="238"/>
      <c r="EK181" s="240"/>
      <c r="EL181" s="238"/>
      <c r="EM181" s="240"/>
      <c r="EN181" s="240"/>
      <c r="EO181" s="240"/>
      <c r="EP181" s="240"/>
      <c r="EQ181" s="240" t="s">
        <v>890</v>
      </c>
      <c r="ER181" s="240" t="s">
        <v>890</v>
      </c>
      <c r="ES181" s="240" t="s">
        <v>890</v>
      </c>
      <c r="ET181" s="240"/>
      <c r="EU181" s="240"/>
      <c r="EV181" s="240"/>
      <c r="EW181" s="240"/>
      <c r="EX181" s="238"/>
      <c r="EY181" s="240"/>
      <c r="EZ181" s="240"/>
      <c r="FA181" s="240"/>
      <c r="FB181" s="240"/>
      <c r="FC181" s="240"/>
      <c r="FD181" s="240"/>
      <c r="FE181" s="240"/>
      <c r="FF181" s="240"/>
      <c r="FG181" s="240"/>
      <c r="FH181" s="240"/>
      <c r="FI181" s="240"/>
      <c r="FJ181" s="240"/>
      <c r="FK181" s="240"/>
      <c r="FL181" s="240"/>
      <c r="FM181" s="240"/>
      <c r="FN181" s="240"/>
      <c r="FO181" s="238"/>
      <c r="FP181" s="240"/>
      <c r="FQ181" s="240"/>
      <c r="FR181" s="240"/>
      <c r="FS181" s="240"/>
      <c r="FT181" s="240"/>
      <c r="FU181" s="240"/>
      <c r="FV181" s="240"/>
      <c r="FW181" s="240"/>
      <c r="FX181" s="240"/>
      <c r="FY181" s="240"/>
      <c r="FZ181" s="238"/>
      <c r="GA181" s="240"/>
      <c r="GB181" s="240"/>
      <c r="GC181" s="238"/>
      <c r="GD181" s="240"/>
      <c r="GE181" s="240"/>
      <c r="GF181" s="240"/>
      <c r="GG181" s="240"/>
      <c r="GH181" s="238"/>
      <c r="GI181" s="240"/>
      <c r="GJ181" s="240"/>
      <c r="GK181" s="240"/>
      <c r="GL181" s="240"/>
      <c r="GM181" s="238"/>
      <c r="GN181" s="240"/>
      <c r="GO181" s="240"/>
      <c r="GP181" s="240"/>
      <c r="GQ181" s="240"/>
      <c r="GR181" s="240"/>
      <c r="GS181" s="240"/>
      <c r="GT181" s="240"/>
      <c r="GU181" s="240"/>
      <c r="GV181" s="240"/>
      <c r="GW181" s="240"/>
      <c r="GX181" s="240"/>
      <c r="GY181" s="240"/>
      <c r="GZ181" s="240"/>
      <c r="HA181" s="240"/>
      <c r="HB181" s="240"/>
      <c r="HC181" s="240"/>
      <c r="HD181" s="238"/>
      <c r="HE181" s="240"/>
      <c r="HF181" s="240"/>
      <c r="HG181" s="240" t="s">
        <v>890</v>
      </c>
      <c r="HH181" s="240"/>
      <c r="HI181" s="240"/>
      <c r="HJ181" s="238"/>
      <c r="HK181" s="240"/>
      <c r="HL181" s="238"/>
      <c r="HM181" s="241"/>
      <c r="HN181" s="235"/>
      <c r="HO181" s="235"/>
      <c r="HP181" s="235"/>
      <c r="HQ181" s="235"/>
    </row>
    <row r="182" spans="2:225" hidden="1" outlineLevel="1">
      <c r="B182" s="257" t="s">
        <v>3000</v>
      </c>
      <c r="C182" s="258" t="str">
        <f>IF(F5='3. Dropdowns'!C12,"Hide","Show")</f>
        <v>Show</v>
      </c>
      <c r="D182" s="236" t="s">
        <v>3271</v>
      </c>
      <c r="E182" s="248"/>
      <c r="F182" s="284" t="str">
        <f>IF(E182='3. Dropdowns'!C171,"","Submittals, Products, Execution")</f>
        <v>Submittals, Products, Execution</v>
      </c>
      <c r="G182" s="281"/>
      <c r="H182" s="242"/>
      <c r="I182" s="239"/>
      <c r="J182" s="240" t="s">
        <v>890</v>
      </c>
      <c r="K182" s="240"/>
      <c r="L182" s="240"/>
      <c r="M182" s="240"/>
      <c r="N182" s="240"/>
      <c r="O182" s="240"/>
      <c r="P182" s="240"/>
      <c r="Q182" s="240"/>
      <c r="R182" s="240"/>
      <c r="S182" s="240"/>
      <c r="T182" s="240" t="s">
        <v>890</v>
      </c>
      <c r="U182" s="240"/>
      <c r="V182" s="240"/>
      <c r="W182" s="240"/>
      <c r="X182" s="242"/>
      <c r="Y182" s="240"/>
      <c r="Z182" s="240"/>
      <c r="AA182" s="240"/>
      <c r="AB182" s="240"/>
      <c r="AC182" s="240"/>
      <c r="AD182" s="240"/>
      <c r="AE182" s="240"/>
      <c r="AF182" s="240"/>
      <c r="AG182" s="240"/>
      <c r="AH182" s="242"/>
      <c r="AI182" s="240"/>
      <c r="AJ182" s="240"/>
      <c r="AK182" s="240"/>
      <c r="AL182" s="240"/>
      <c r="AM182" s="242"/>
      <c r="AN182" s="240"/>
      <c r="AO182" s="240"/>
      <c r="AP182" s="240"/>
      <c r="AQ182" s="242"/>
      <c r="AR182" s="240"/>
      <c r="AS182" s="240"/>
      <c r="AT182" s="240"/>
      <c r="AU182" s="240"/>
      <c r="AV182" s="240"/>
      <c r="AW182" s="240"/>
      <c r="AX182" s="240"/>
      <c r="AY182" s="240"/>
      <c r="AZ182" s="242"/>
      <c r="BA182" s="240"/>
      <c r="BB182" s="240"/>
      <c r="BC182" s="240"/>
      <c r="BD182" s="240"/>
      <c r="BE182" s="240"/>
      <c r="BF182" s="240"/>
      <c r="BG182" s="240"/>
      <c r="BH182" s="240"/>
      <c r="BI182" s="240"/>
      <c r="BJ182" s="240"/>
      <c r="BK182" s="240"/>
      <c r="BL182" s="240"/>
      <c r="BM182" s="240"/>
      <c r="BN182" s="240"/>
      <c r="BO182" s="240"/>
      <c r="BP182" s="242"/>
      <c r="BQ182" s="240"/>
      <c r="BR182" s="240"/>
      <c r="BS182" s="240"/>
      <c r="BT182" s="240"/>
      <c r="BU182" s="240"/>
      <c r="BV182" s="240"/>
      <c r="BW182" s="240"/>
      <c r="BX182" s="240"/>
      <c r="BY182" s="240"/>
      <c r="BZ182" s="240"/>
      <c r="CA182" s="240"/>
      <c r="CB182" s="240"/>
      <c r="CC182" s="240"/>
      <c r="CD182" s="240"/>
      <c r="CE182" s="240"/>
      <c r="CF182" s="242"/>
      <c r="CG182" s="240"/>
      <c r="CH182" s="240"/>
      <c r="CI182" s="240"/>
      <c r="CJ182" s="240"/>
      <c r="CK182" s="240"/>
      <c r="CL182" s="240"/>
      <c r="CM182" s="240"/>
      <c r="CN182" s="240"/>
      <c r="CO182" s="240"/>
      <c r="CP182" s="240"/>
      <c r="CQ182" s="240"/>
      <c r="CR182" s="240"/>
      <c r="CS182" s="242"/>
      <c r="CT182" s="240"/>
      <c r="CU182" s="240"/>
      <c r="CV182" s="240"/>
      <c r="CW182" s="240"/>
      <c r="CX182" s="240"/>
      <c r="CY182" s="240"/>
      <c r="CZ182" s="240"/>
      <c r="DA182" s="240"/>
      <c r="DB182" s="240"/>
      <c r="DC182" s="240"/>
      <c r="DD182" s="240"/>
      <c r="DE182" s="240"/>
      <c r="DF182" s="242"/>
      <c r="DG182" s="240"/>
      <c r="DH182" s="240"/>
      <c r="DI182" s="240"/>
      <c r="DJ182" s="240"/>
      <c r="DK182" s="240"/>
      <c r="DL182" s="240"/>
      <c r="DM182" s="240"/>
      <c r="DN182" s="240"/>
      <c r="DO182" s="240"/>
      <c r="DP182" s="240"/>
      <c r="DQ182" s="240"/>
      <c r="DR182" s="242"/>
      <c r="DS182" s="240"/>
      <c r="DT182" s="240"/>
      <c r="DU182" s="240"/>
      <c r="DV182" s="242"/>
      <c r="DW182" s="240"/>
      <c r="DX182" s="240"/>
      <c r="DY182" s="240"/>
      <c r="DZ182" s="240"/>
      <c r="EA182" s="240"/>
      <c r="EB182" s="240"/>
      <c r="EC182" s="240"/>
      <c r="ED182" s="240"/>
      <c r="EE182" s="240"/>
      <c r="EF182" s="242"/>
      <c r="EG182" s="240"/>
      <c r="EH182" s="240"/>
      <c r="EI182" s="240"/>
      <c r="EJ182" s="242"/>
      <c r="EK182" s="240"/>
      <c r="EL182" s="242"/>
      <c r="EM182" s="240"/>
      <c r="EN182" s="240"/>
      <c r="EO182" s="240"/>
      <c r="EP182" s="240"/>
      <c r="EQ182" s="240" t="s">
        <v>890</v>
      </c>
      <c r="ER182" s="240"/>
      <c r="ES182" s="240"/>
      <c r="ET182" s="240"/>
      <c r="EU182" s="240"/>
      <c r="EV182" s="240"/>
      <c r="EW182" s="240"/>
      <c r="EX182" s="242"/>
      <c r="EY182" s="240"/>
      <c r="EZ182" s="240"/>
      <c r="FA182" s="240"/>
      <c r="FB182" s="240"/>
      <c r="FC182" s="240"/>
      <c r="FD182" s="240"/>
      <c r="FE182" s="240"/>
      <c r="FF182" s="240"/>
      <c r="FG182" s="240"/>
      <c r="FH182" s="240"/>
      <c r="FI182" s="240"/>
      <c r="FJ182" s="240"/>
      <c r="FK182" s="240"/>
      <c r="FL182" s="240"/>
      <c r="FM182" s="240"/>
      <c r="FN182" s="240"/>
      <c r="FO182" s="242"/>
      <c r="FP182" s="240"/>
      <c r="FQ182" s="240"/>
      <c r="FR182" s="240"/>
      <c r="FS182" s="240"/>
      <c r="FT182" s="240"/>
      <c r="FU182" s="240"/>
      <c r="FV182" s="240"/>
      <c r="FW182" s="240"/>
      <c r="FX182" s="240"/>
      <c r="FY182" s="240"/>
      <c r="FZ182" s="242"/>
      <c r="GA182" s="240"/>
      <c r="GB182" s="240"/>
      <c r="GC182" s="242"/>
      <c r="GD182" s="240"/>
      <c r="GE182" s="240"/>
      <c r="GF182" s="240"/>
      <c r="GG182" s="240"/>
      <c r="GH182" s="242"/>
      <c r="GI182" s="240"/>
      <c r="GJ182" s="240"/>
      <c r="GK182" s="240"/>
      <c r="GL182" s="240"/>
      <c r="GM182" s="242"/>
      <c r="GN182" s="240"/>
      <c r="GO182" s="240"/>
      <c r="GP182" s="240"/>
      <c r="GQ182" s="240"/>
      <c r="GR182" s="240"/>
      <c r="GS182" s="240"/>
      <c r="GT182" s="240"/>
      <c r="GU182" s="240"/>
      <c r="GV182" s="240"/>
      <c r="GW182" s="240"/>
      <c r="GX182" s="240"/>
      <c r="GY182" s="240"/>
      <c r="GZ182" s="240"/>
      <c r="HA182" s="240"/>
      <c r="HB182" s="240"/>
      <c r="HC182" s="240"/>
      <c r="HD182" s="242"/>
      <c r="HE182" s="240"/>
      <c r="HF182" s="240"/>
      <c r="HG182" s="240" t="s">
        <v>890</v>
      </c>
      <c r="HH182" s="240" t="s">
        <v>890</v>
      </c>
      <c r="HI182" s="240"/>
      <c r="HJ182" s="242"/>
      <c r="HK182" s="240"/>
      <c r="HL182" s="242"/>
      <c r="HM182" s="241"/>
      <c r="HN182" s="235"/>
      <c r="HO182" s="235"/>
      <c r="HP182" s="235"/>
      <c r="HQ182" s="235"/>
    </row>
    <row r="183" spans="2:225" collapsed="1">
      <c r="B183" s="275"/>
      <c r="C183" s="258" t="s">
        <v>116</v>
      </c>
      <c r="D183" s="220" t="s">
        <v>108</v>
      </c>
      <c r="E183" s="221"/>
      <c r="F183" s="286"/>
      <c r="G183" s="222"/>
      <c r="H183" s="224"/>
      <c r="I183" s="224"/>
      <c r="J183" s="224"/>
      <c r="K183" s="224"/>
      <c r="L183" s="224"/>
      <c r="M183" s="224"/>
      <c r="N183" s="224"/>
      <c r="O183" s="224"/>
      <c r="P183" s="224"/>
      <c r="Q183" s="224"/>
      <c r="R183" s="224"/>
      <c r="S183" s="224"/>
      <c r="T183" s="224"/>
      <c r="U183" s="224"/>
      <c r="V183" s="224"/>
      <c r="W183" s="224"/>
      <c r="X183" s="224"/>
      <c r="Y183" s="224"/>
      <c r="Z183" s="224"/>
      <c r="AA183" s="224"/>
      <c r="AB183" s="224"/>
      <c r="AC183" s="224"/>
      <c r="AD183" s="224"/>
      <c r="AE183" s="224"/>
      <c r="AF183" s="224"/>
      <c r="AG183" s="224"/>
      <c r="AH183" s="224"/>
      <c r="AI183" s="224"/>
      <c r="AJ183" s="224"/>
      <c r="AK183" s="224"/>
      <c r="AL183" s="224"/>
      <c r="AM183" s="224"/>
      <c r="AN183" s="224"/>
      <c r="AO183" s="224"/>
      <c r="AP183" s="224"/>
      <c r="AQ183" s="224"/>
      <c r="AR183" s="224"/>
      <c r="AS183" s="224"/>
      <c r="AT183" s="224"/>
      <c r="AU183" s="224"/>
      <c r="AV183" s="224"/>
      <c r="AW183" s="224"/>
      <c r="AX183" s="224"/>
      <c r="AY183" s="224"/>
      <c r="AZ183" s="224"/>
      <c r="BA183" s="224"/>
      <c r="BB183" s="224"/>
      <c r="BC183" s="224"/>
      <c r="BD183" s="224"/>
      <c r="BE183" s="224"/>
      <c r="BF183" s="224"/>
      <c r="BG183" s="224"/>
      <c r="BH183" s="224"/>
      <c r="BI183" s="224"/>
      <c r="BJ183" s="224"/>
      <c r="BK183" s="224"/>
      <c r="BL183" s="224"/>
      <c r="BM183" s="224"/>
      <c r="BN183" s="224"/>
      <c r="BO183" s="224"/>
      <c r="BP183" s="224"/>
      <c r="BQ183" s="224"/>
      <c r="BR183" s="224"/>
      <c r="BS183" s="224"/>
      <c r="BT183" s="224"/>
      <c r="BU183" s="224"/>
      <c r="BV183" s="224"/>
      <c r="BW183" s="224"/>
      <c r="BX183" s="224"/>
      <c r="BY183" s="224"/>
      <c r="BZ183" s="224"/>
      <c r="CA183" s="224"/>
      <c r="CB183" s="224"/>
      <c r="CC183" s="224"/>
      <c r="CD183" s="224"/>
      <c r="CE183" s="224"/>
      <c r="CF183" s="224"/>
      <c r="CG183" s="224"/>
      <c r="CH183" s="224"/>
      <c r="CI183" s="224"/>
      <c r="CJ183" s="224"/>
      <c r="CK183" s="224"/>
      <c r="CL183" s="224"/>
      <c r="CM183" s="224"/>
      <c r="CN183" s="224"/>
      <c r="CO183" s="224"/>
      <c r="CP183" s="224"/>
      <c r="CQ183" s="224"/>
      <c r="CR183" s="224"/>
      <c r="CS183" s="224"/>
      <c r="CT183" s="224"/>
      <c r="CU183" s="224"/>
      <c r="CV183" s="224"/>
      <c r="CW183" s="224"/>
      <c r="CX183" s="224"/>
      <c r="CY183" s="224"/>
      <c r="CZ183" s="224"/>
      <c r="DA183" s="224"/>
      <c r="DB183" s="224"/>
      <c r="DC183" s="224"/>
      <c r="DD183" s="224"/>
      <c r="DE183" s="224"/>
      <c r="DF183" s="224"/>
      <c r="DG183" s="224"/>
      <c r="DH183" s="224"/>
      <c r="DI183" s="224"/>
      <c r="DJ183" s="224"/>
      <c r="DK183" s="224"/>
      <c r="DL183" s="224"/>
      <c r="DM183" s="224"/>
      <c r="DN183" s="224"/>
      <c r="DO183" s="224"/>
      <c r="DP183" s="224"/>
      <c r="DQ183" s="224"/>
      <c r="DR183" s="224"/>
      <c r="DS183" s="224"/>
      <c r="DT183" s="224"/>
      <c r="DU183" s="224"/>
      <c r="DV183" s="224"/>
      <c r="DW183" s="224"/>
      <c r="DX183" s="224"/>
      <c r="DY183" s="224"/>
      <c r="DZ183" s="224"/>
      <c r="EA183" s="224"/>
      <c r="EB183" s="224"/>
      <c r="EC183" s="224"/>
      <c r="ED183" s="224"/>
      <c r="EE183" s="224"/>
      <c r="EF183" s="224"/>
      <c r="EG183" s="224"/>
      <c r="EH183" s="224"/>
      <c r="EI183" s="224"/>
      <c r="EJ183" s="224"/>
      <c r="EK183" s="224"/>
      <c r="EL183" s="224"/>
      <c r="EM183" s="224"/>
      <c r="EN183" s="224"/>
      <c r="EO183" s="224"/>
      <c r="EP183" s="224"/>
      <c r="EQ183" s="224"/>
      <c r="ER183" s="224"/>
      <c r="ES183" s="224"/>
      <c r="ET183" s="224"/>
      <c r="EU183" s="224"/>
      <c r="EV183" s="224"/>
      <c r="EW183" s="224"/>
      <c r="EX183" s="224"/>
      <c r="EY183" s="224"/>
      <c r="EZ183" s="224"/>
      <c r="FA183" s="224"/>
      <c r="FB183" s="224"/>
      <c r="FC183" s="224"/>
      <c r="FD183" s="224"/>
      <c r="FE183" s="224"/>
      <c r="FF183" s="224"/>
      <c r="FG183" s="224"/>
      <c r="FH183" s="224"/>
      <c r="FI183" s="224"/>
      <c r="FJ183" s="224"/>
      <c r="FK183" s="224"/>
      <c r="FL183" s="224"/>
      <c r="FM183" s="224"/>
      <c r="FN183" s="224"/>
      <c r="FO183" s="224"/>
      <c r="FP183" s="224"/>
      <c r="FQ183" s="224"/>
      <c r="FR183" s="224"/>
      <c r="FS183" s="224"/>
      <c r="FT183" s="224"/>
      <c r="FU183" s="224"/>
      <c r="FV183" s="224"/>
      <c r="FW183" s="224"/>
      <c r="FX183" s="224"/>
      <c r="FY183" s="224"/>
      <c r="FZ183" s="224"/>
      <c r="GA183" s="224"/>
      <c r="GB183" s="224"/>
      <c r="GC183" s="224"/>
      <c r="GD183" s="224"/>
      <c r="GE183" s="224"/>
      <c r="GF183" s="224"/>
      <c r="GG183" s="224"/>
      <c r="GH183" s="224"/>
      <c r="GI183" s="224"/>
      <c r="GJ183" s="224"/>
      <c r="GK183" s="224"/>
      <c r="GL183" s="224"/>
      <c r="GM183" s="224"/>
      <c r="GN183" s="224"/>
      <c r="GO183" s="224"/>
      <c r="GP183" s="224"/>
      <c r="GQ183" s="224"/>
      <c r="GR183" s="224"/>
      <c r="GS183" s="224"/>
      <c r="GT183" s="224"/>
      <c r="GU183" s="224"/>
      <c r="GV183" s="224"/>
      <c r="GW183" s="224"/>
      <c r="GX183" s="224"/>
      <c r="GY183" s="224"/>
      <c r="GZ183" s="224"/>
      <c r="HA183" s="224"/>
      <c r="HB183" s="224"/>
      <c r="HC183" s="224"/>
      <c r="HD183" s="224"/>
      <c r="HE183" s="224"/>
      <c r="HF183" s="224"/>
      <c r="HG183" s="224"/>
      <c r="HH183" s="224"/>
      <c r="HI183" s="224"/>
      <c r="HJ183" s="224"/>
      <c r="HK183" s="224"/>
      <c r="HL183" s="224"/>
      <c r="HM183" s="265"/>
      <c r="HN183" s="235"/>
      <c r="HO183" s="235"/>
      <c r="HP183" s="235"/>
      <c r="HQ183" s="235"/>
    </row>
    <row r="184" spans="2:225" hidden="1" outlineLevel="1">
      <c r="B184" s="275"/>
      <c r="C184" s="258" t="s">
        <v>116</v>
      </c>
      <c r="D184" s="236" t="s">
        <v>3272</v>
      </c>
      <c r="E184" s="237"/>
      <c r="F184" s="237"/>
      <c r="G184" s="268"/>
      <c r="H184" s="290"/>
      <c r="I184" s="291"/>
      <c r="J184" s="292"/>
      <c r="K184" s="292"/>
      <c r="L184" s="292"/>
      <c r="M184" s="292"/>
      <c r="N184" s="292"/>
      <c r="O184" s="292"/>
      <c r="P184" s="292"/>
      <c r="Q184" s="292"/>
      <c r="R184" s="292"/>
      <c r="S184" s="292"/>
      <c r="T184" s="292"/>
      <c r="U184" s="292"/>
      <c r="V184" s="292"/>
      <c r="W184" s="292"/>
      <c r="X184" s="290"/>
      <c r="Y184" s="292"/>
      <c r="Z184" s="292"/>
      <c r="AA184" s="292"/>
      <c r="AB184" s="292"/>
      <c r="AC184" s="292"/>
      <c r="AD184" s="292"/>
      <c r="AE184" s="292"/>
      <c r="AF184" s="292"/>
      <c r="AG184" s="292"/>
      <c r="AH184" s="290"/>
      <c r="AI184" s="292"/>
      <c r="AJ184" s="292"/>
      <c r="AK184" s="292"/>
      <c r="AL184" s="292"/>
      <c r="AM184" s="290"/>
      <c r="AN184" s="292"/>
      <c r="AO184" s="292"/>
      <c r="AP184" s="292"/>
      <c r="AQ184" s="290"/>
      <c r="AR184" s="292"/>
      <c r="AS184" s="292"/>
      <c r="AT184" s="292"/>
      <c r="AU184" s="292"/>
      <c r="AV184" s="292"/>
      <c r="AW184" s="292"/>
      <c r="AX184" s="292"/>
      <c r="AY184" s="292"/>
      <c r="AZ184" s="290"/>
      <c r="BA184" s="292"/>
      <c r="BB184" s="292"/>
      <c r="BC184" s="292"/>
      <c r="BD184" s="292"/>
      <c r="BE184" s="292"/>
      <c r="BF184" s="292"/>
      <c r="BG184" s="292"/>
      <c r="BH184" s="292"/>
      <c r="BI184" s="292"/>
      <c r="BJ184" s="292"/>
      <c r="BK184" s="292"/>
      <c r="BL184" s="292"/>
      <c r="BM184" s="292"/>
      <c r="BN184" s="292"/>
      <c r="BO184" s="292"/>
      <c r="BP184" s="290"/>
      <c r="BQ184" s="292"/>
      <c r="BR184" s="292"/>
      <c r="BS184" s="292"/>
      <c r="BT184" s="292"/>
      <c r="BU184" s="292"/>
      <c r="BV184" s="292"/>
      <c r="BW184" s="292"/>
      <c r="BX184" s="292"/>
      <c r="BY184" s="292"/>
      <c r="BZ184" s="292"/>
      <c r="CA184" s="292"/>
      <c r="CB184" s="292"/>
      <c r="CC184" s="292"/>
      <c r="CD184" s="292"/>
      <c r="CE184" s="292"/>
      <c r="CF184" s="290"/>
      <c r="CG184" s="292"/>
      <c r="CH184" s="292"/>
      <c r="CI184" s="292"/>
      <c r="CJ184" s="292"/>
      <c r="CK184" s="292"/>
      <c r="CL184" s="292"/>
      <c r="CM184" s="292"/>
      <c r="CN184" s="292"/>
      <c r="CO184" s="292"/>
      <c r="CP184" s="292"/>
      <c r="CQ184" s="292"/>
      <c r="CR184" s="292"/>
      <c r="CS184" s="290"/>
      <c r="CT184" s="292"/>
      <c r="CU184" s="292"/>
      <c r="CV184" s="292"/>
      <c r="CW184" s="292"/>
      <c r="CX184" s="292"/>
      <c r="CY184" s="292"/>
      <c r="CZ184" s="292"/>
      <c r="DA184" s="292"/>
      <c r="DB184" s="292"/>
      <c r="DC184" s="292"/>
      <c r="DD184" s="292"/>
      <c r="DE184" s="292"/>
      <c r="DF184" s="290"/>
      <c r="DG184" s="292"/>
      <c r="DH184" s="292"/>
      <c r="DI184" s="292"/>
      <c r="DJ184" s="292"/>
      <c r="DK184" s="292"/>
      <c r="DL184" s="292"/>
      <c r="DM184" s="292"/>
      <c r="DN184" s="292"/>
      <c r="DO184" s="292"/>
      <c r="DP184" s="292"/>
      <c r="DQ184" s="292"/>
      <c r="DR184" s="290"/>
      <c r="DS184" s="292"/>
      <c r="DT184" s="292"/>
      <c r="DU184" s="292"/>
      <c r="DV184" s="290"/>
      <c r="DW184" s="292"/>
      <c r="DX184" s="292"/>
      <c r="DY184" s="292"/>
      <c r="DZ184" s="292"/>
      <c r="EA184" s="292"/>
      <c r="EB184" s="292"/>
      <c r="EC184" s="292"/>
      <c r="ED184" s="292"/>
      <c r="EE184" s="292"/>
      <c r="EF184" s="290"/>
      <c r="EG184" s="292"/>
      <c r="EH184" s="292"/>
      <c r="EI184" s="292"/>
      <c r="EJ184" s="290"/>
      <c r="EK184" s="292"/>
      <c r="EL184" s="290"/>
      <c r="EM184" s="292"/>
      <c r="EN184" s="292"/>
      <c r="EO184" s="292"/>
      <c r="EP184" s="292"/>
      <c r="EQ184" s="292"/>
      <c r="ER184" s="292"/>
      <c r="ES184" s="292"/>
      <c r="ET184" s="292"/>
      <c r="EU184" s="292"/>
      <c r="EV184" s="292"/>
      <c r="EW184" s="292"/>
      <c r="EX184" s="290"/>
      <c r="EY184" s="292"/>
      <c r="EZ184" s="292"/>
      <c r="FA184" s="292"/>
      <c r="FB184" s="292"/>
      <c r="FC184" s="292"/>
      <c r="FD184" s="292"/>
      <c r="FE184" s="292"/>
      <c r="FF184" s="292"/>
      <c r="FG184" s="292"/>
      <c r="FH184" s="292"/>
      <c r="FI184" s="292"/>
      <c r="FJ184" s="292"/>
      <c r="FK184" s="292"/>
      <c r="FL184" s="292"/>
      <c r="FM184" s="292"/>
      <c r="FN184" s="292"/>
      <c r="FO184" s="290"/>
      <c r="FP184" s="292"/>
      <c r="FQ184" s="292"/>
      <c r="FR184" s="292"/>
      <c r="FS184" s="292"/>
      <c r="FT184" s="292"/>
      <c r="FU184" s="292"/>
      <c r="FV184" s="292"/>
      <c r="FW184" s="292"/>
      <c r="FX184" s="292"/>
      <c r="FY184" s="292"/>
      <c r="FZ184" s="290"/>
      <c r="GA184" s="292"/>
      <c r="GB184" s="292"/>
      <c r="GC184" s="290"/>
      <c r="GD184" s="292"/>
      <c r="GE184" s="292"/>
      <c r="GF184" s="292"/>
      <c r="GG184" s="292"/>
      <c r="GH184" s="290"/>
      <c r="GI184" s="292"/>
      <c r="GJ184" s="292"/>
      <c r="GK184" s="292"/>
      <c r="GL184" s="292"/>
      <c r="GM184" s="290"/>
      <c r="GN184" s="292"/>
      <c r="GO184" s="292"/>
      <c r="GP184" s="292"/>
      <c r="GQ184" s="292"/>
      <c r="GR184" s="292"/>
      <c r="GS184" s="292"/>
      <c r="GT184" s="292"/>
      <c r="GU184" s="292"/>
      <c r="GV184" s="292"/>
      <c r="GW184" s="292"/>
      <c r="GX184" s="292"/>
      <c r="GY184" s="292"/>
      <c r="GZ184" s="292"/>
      <c r="HA184" s="292"/>
      <c r="HB184" s="292"/>
      <c r="HC184" s="292"/>
      <c r="HD184" s="290"/>
      <c r="HE184" s="292"/>
      <c r="HF184" s="292"/>
      <c r="HG184" s="292"/>
      <c r="HH184" s="292"/>
      <c r="HI184" s="292"/>
      <c r="HJ184" s="290"/>
      <c r="HK184" s="292"/>
      <c r="HL184" s="290"/>
      <c r="HM184" s="293"/>
    </row>
    <row r="185" spans="2:225" hidden="1" outlineLevel="1">
      <c r="B185" s="251" t="s">
        <v>408</v>
      </c>
      <c r="C185" s="288" t="str">
        <f>IF(OR(D5='3. Dropdowns'!$C$8,D5='3. Dropdowns'!C9,),"Hide","Show")</f>
        <v>Show</v>
      </c>
      <c r="D185" s="236" t="s">
        <v>3273</v>
      </c>
      <c r="E185" s="237"/>
      <c r="F185" s="284" t="s">
        <v>540</v>
      </c>
      <c r="G185" s="268"/>
      <c r="H185" s="294"/>
      <c r="I185" s="239" t="s">
        <v>890</v>
      </c>
      <c r="J185" s="240"/>
      <c r="K185" s="240"/>
      <c r="L185" s="240" t="s">
        <v>890</v>
      </c>
      <c r="M185" s="292"/>
      <c r="N185" s="292"/>
      <c r="O185" s="292"/>
      <c r="P185" s="292"/>
      <c r="Q185" s="292"/>
      <c r="R185" s="292" t="s">
        <v>890</v>
      </c>
      <c r="S185" s="292"/>
      <c r="T185" s="240" t="s">
        <v>890</v>
      </c>
      <c r="U185" s="240" t="s">
        <v>890</v>
      </c>
      <c r="V185" s="240"/>
      <c r="W185" s="240"/>
      <c r="X185" s="294"/>
      <c r="Y185" s="240"/>
      <c r="Z185" s="240"/>
      <c r="AA185" s="240"/>
      <c r="AB185" s="240"/>
      <c r="AC185" s="240"/>
      <c r="AD185" s="240"/>
      <c r="AE185" s="240"/>
      <c r="AF185" s="240"/>
      <c r="AG185" s="240"/>
      <c r="AH185" s="294"/>
      <c r="AI185" s="240"/>
      <c r="AJ185" s="240"/>
      <c r="AK185" s="240"/>
      <c r="AL185" s="240"/>
      <c r="AM185" s="294"/>
      <c r="AN185" s="240"/>
      <c r="AO185" s="240"/>
      <c r="AP185" s="240"/>
      <c r="AQ185" s="294"/>
      <c r="AR185" s="240"/>
      <c r="AS185" s="240"/>
      <c r="AT185" s="240"/>
      <c r="AU185" s="240"/>
      <c r="AV185" s="240"/>
      <c r="AW185" s="240"/>
      <c r="AX185" s="240"/>
      <c r="AY185" s="240"/>
      <c r="AZ185" s="294"/>
      <c r="BA185" s="240"/>
      <c r="BB185" s="240"/>
      <c r="BC185" s="240"/>
      <c r="BD185" s="240"/>
      <c r="BE185" s="240"/>
      <c r="BF185" s="240"/>
      <c r="BG185" s="240"/>
      <c r="BH185" s="240"/>
      <c r="BI185" s="240"/>
      <c r="BJ185" s="240"/>
      <c r="BK185" s="240"/>
      <c r="BL185" s="240"/>
      <c r="BM185" s="240"/>
      <c r="BN185" s="240"/>
      <c r="BO185" s="240"/>
      <c r="BP185" s="294"/>
      <c r="BQ185" s="240"/>
      <c r="BR185" s="240" t="s">
        <v>890</v>
      </c>
      <c r="BS185" s="240" t="s">
        <v>890</v>
      </c>
      <c r="BT185" s="240"/>
      <c r="BU185" s="240"/>
      <c r="BV185" s="240" t="s">
        <v>890</v>
      </c>
      <c r="BW185" s="240"/>
      <c r="BX185" s="240"/>
      <c r="BY185" s="240"/>
      <c r="BZ185" s="240"/>
      <c r="CA185" s="240"/>
      <c r="CB185" s="240"/>
      <c r="CC185" s="240"/>
      <c r="CD185" s="240"/>
      <c r="CE185" s="240"/>
      <c r="CF185" s="294"/>
      <c r="CG185" s="240" t="s">
        <v>890</v>
      </c>
      <c r="CH185" s="240"/>
      <c r="CI185" s="240"/>
      <c r="CJ185" s="240"/>
      <c r="CK185" s="240"/>
      <c r="CL185" s="240"/>
      <c r="CM185" s="240" t="s">
        <v>890</v>
      </c>
      <c r="CN185" s="240"/>
      <c r="CO185" s="240"/>
      <c r="CP185" s="240"/>
      <c r="CQ185" s="240"/>
      <c r="CR185" s="240"/>
      <c r="CS185" s="294"/>
      <c r="CT185" s="240"/>
      <c r="CU185" s="240"/>
      <c r="CV185" s="240"/>
      <c r="CW185" s="240"/>
      <c r="CX185" s="240"/>
      <c r="CY185" s="240"/>
      <c r="CZ185" s="240"/>
      <c r="DA185" s="240"/>
      <c r="DB185" s="240"/>
      <c r="DC185" s="240"/>
      <c r="DD185" s="240"/>
      <c r="DE185" s="240"/>
      <c r="DF185" s="294"/>
      <c r="DG185" s="240"/>
      <c r="DH185" s="240"/>
      <c r="DI185" s="240"/>
      <c r="DJ185" s="240"/>
      <c r="DK185" s="240"/>
      <c r="DL185" s="240"/>
      <c r="DM185" s="240"/>
      <c r="DN185" s="240"/>
      <c r="DO185" s="240"/>
      <c r="DP185" s="240"/>
      <c r="DQ185" s="240"/>
      <c r="DR185" s="294"/>
      <c r="DS185" s="240" t="s">
        <v>890</v>
      </c>
      <c r="DT185" s="240" t="s">
        <v>890</v>
      </c>
      <c r="DU185" s="240"/>
      <c r="DV185" s="294"/>
      <c r="DW185" s="240"/>
      <c r="DX185" s="240"/>
      <c r="DY185" s="240"/>
      <c r="DZ185" s="240"/>
      <c r="EA185" s="240"/>
      <c r="EB185" s="240"/>
      <c r="EC185" s="240"/>
      <c r="ED185" s="240"/>
      <c r="EE185" s="240"/>
      <c r="EF185" s="294"/>
      <c r="EG185" s="240"/>
      <c r="EH185" s="240"/>
      <c r="EI185" s="240"/>
      <c r="EJ185" s="294"/>
      <c r="EK185" s="240"/>
      <c r="EL185" s="294"/>
      <c r="EM185" s="240"/>
      <c r="EN185" s="240"/>
      <c r="EO185" s="240"/>
      <c r="EP185" s="240"/>
      <c r="EQ185" s="240" t="s">
        <v>890</v>
      </c>
      <c r="ER185" s="240"/>
      <c r="ES185" s="240"/>
      <c r="ET185" s="240"/>
      <c r="EU185" s="240" t="s">
        <v>890</v>
      </c>
      <c r="EV185" s="240" t="s">
        <v>890</v>
      </c>
      <c r="EW185" s="240"/>
      <c r="EX185" s="295" t="s">
        <v>890</v>
      </c>
      <c r="EY185" s="240"/>
      <c r="EZ185" s="240"/>
      <c r="FA185" s="240" t="s">
        <v>890</v>
      </c>
      <c r="FB185" s="240"/>
      <c r="FC185" s="240"/>
      <c r="FD185" s="240" t="s">
        <v>890</v>
      </c>
      <c r="FE185" s="240"/>
      <c r="FF185" s="240"/>
      <c r="FG185" s="240"/>
      <c r="FH185" s="240"/>
      <c r="FI185" s="240" t="s">
        <v>890</v>
      </c>
      <c r="FJ185" s="240" t="s">
        <v>890</v>
      </c>
      <c r="FK185" s="240"/>
      <c r="FL185" s="240"/>
      <c r="FM185" s="240" t="s">
        <v>890</v>
      </c>
      <c r="FN185" s="240"/>
      <c r="FO185" s="294"/>
      <c r="FP185" s="240"/>
      <c r="FQ185" s="240"/>
      <c r="FR185" s="240"/>
      <c r="FS185" s="240"/>
      <c r="FT185" s="240"/>
      <c r="FU185" s="240"/>
      <c r="FV185" s="240"/>
      <c r="FW185" s="240"/>
      <c r="FX185" s="240"/>
      <c r="FY185" s="240"/>
      <c r="FZ185" s="294"/>
      <c r="GA185" s="240"/>
      <c r="GB185" s="240"/>
      <c r="GC185" s="294"/>
      <c r="GD185" s="240"/>
      <c r="GE185" s="240"/>
      <c r="GF185" s="240"/>
      <c r="GG185" s="240"/>
      <c r="GH185" s="294"/>
      <c r="GI185" s="240"/>
      <c r="GJ185" s="240"/>
      <c r="GK185" s="240"/>
      <c r="GL185" s="240"/>
      <c r="GM185" s="294"/>
      <c r="GN185" s="240"/>
      <c r="GO185" s="240"/>
      <c r="GP185" s="240"/>
      <c r="GQ185" s="240"/>
      <c r="GR185" s="240"/>
      <c r="GS185" s="240"/>
      <c r="GT185" s="240"/>
      <c r="GU185" s="240"/>
      <c r="GV185" s="240"/>
      <c r="GW185" s="240"/>
      <c r="GX185" s="240"/>
      <c r="GY185" s="240"/>
      <c r="GZ185" s="240"/>
      <c r="HA185" s="240"/>
      <c r="HB185" s="240"/>
      <c r="HC185" s="240"/>
      <c r="HD185" s="294"/>
      <c r="HE185" s="240"/>
      <c r="HF185" s="240"/>
      <c r="HG185" s="240"/>
      <c r="HH185" s="240"/>
      <c r="HI185" s="240"/>
      <c r="HJ185" s="294"/>
      <c r="HK185" s="240"/>
      <c r="HL185" s="294"/>
      <c r="HM185" s="241"/>
      <c r="HN185" s="235"/>
      <c r="HO185" s="235"/>
    </row>
    <row r="186" spans="2:225" ht="37.5" hidden="1" outlineLevel="1">
      <c r="B186" s="251" t="s">
        <v>502</v>
      </c>
      <c r="C186" s="288" t="str">
        <f>IF(D5='3. Dropdowns'!C7,"Hide","Show")</f>
        <v>Show</v>
      </c>
      <c r="D186" s="236" t="s">
        <v>3274</v>
      </c>
      <c r="E186" s="248"/>
      <c r="F186" s="284" t="s">
        <v>540</v>
      </c>
      <c r="G186" s="268"/>
      <c r="H186" s="296"/>
      <c r="I186" s="297" t="s">
        <v>890</v>
      </c>
      <c r="J186" s="298" t="s">
        <v>890</v>
      </c>
      <c r="K186" s="299"/>
      <c r="L186" s="299"/>
      <c r="M186" s="299"/>
      <c r="N186" s="299"/>
      <c r="O186" s="299"/>
      <c r="P186" s="299"/>
      <c r="Q186" s="299"/>
      <c r="R186" s="299"/>
      <c r="S186" s="299"/>
      <c r="T186" s="240" t="s">
        <v>890</v>
      </c>
      <c r="U186" s="298" t="s">
        <v>890</v>
      </c>
      <c r="V186" s="298"/>
      <c r="W186" s="298"/>
      <c r="X186" s="296"/>
      <c r="Y186" s="298"/>
      <c r="Z186" s="298"/>
      <c r="AA186" s="298"/>
      <c r="AB186" s="298"/>
      <c r="AC186" s="298"/>
      <c r="AD186" s="298"/>
      <c r="AE186" s="298"/>
      <c r="AF186" s="298"/>
      <c r="AG186" s="298"/>
      <c r="AH186" s="296"/>
      <c r="AI186" s="298"/>
      <c r="AJ186" s="298"/>
      <c r="AK186" s="298"/>
      <c r="AL186" s="298"/>
      <c r="AM186" s="296"/>
      <c r="AN186" s="298"/>
      <c r="AO186" s="298"/>
      <c r="AP186" s="298"/>
      <c r="AQ186" s="296"/>
      <c r="AR186" s="298"/>
      <c r="AS186" s="298"/>
      <c r="AT186" s="298"/>
      <c r="AU186" s="298"/>
      <c r="AV186" s="298"/>
      <c r="AW186" s="298"/>
      <c r="AX186" s="298"/>
      <c r="AY186" s="298"/>
      <c r="AZ186" s="296"/>
      <c r="BA186" s="298"/>
      <c r="BB186" s="298"/>
      <c r="BC186" s="298"/>
      <c r="BD186" s="298"/>
      <c r="BE186" s="298"/>
      <c r="BF186" s="298"/>
      <c r="BG186" s="298"/>
      <c r="BH186" s="298"/>
      <c r="BI186" s="298"/>
      <c r="BJ186" s="298"/>
      <c r="BK186" s="298"/>
      <c r="BL186" s="298"/>
      <c r="BM186" s="298"/>
      <c r="BN186" s="298"/>
      <c r="BO186" s="298"/>
      <c r="BP186" s="296"/>
      <c r="BQ186" s="298"/>
      <c r="BR186" s="298" t="s">
        <v>890</v>
      </c>
      <c r="BS186" s="240" t="s">
        <v>890</v>
      </c>
      <c r="BT186" s="240"/>
      <c r="BU186" s="240"/>
      <c r="BV186" s="240" t="s">
        <v>890</v>
      </c>
      <c r="BW186" s="240"/>
      <c r="BX186" s="298"/>
      <c r="BY186" s="298"/>
      <c r="BZ186" s="298"/>
      <c r="CA186" s="298"/>
      <c r="CB186" s="298"/>
      <c r="CC186" s="298"/>
      <c r="CD186" s="298"/>
      <c r="CE186" s="298"/>
      <c r="CF186" s="296"/>
      <c r="CG186" s="240" t="s">
        <v>890</v>
      </c>
      <c r="CH186" s="240"/>
      <c r="CI186" s="240"/>
      <c r="CJ186" s="240"/>
      <c r="CK186" s="240"/>
      <c r="CL186" s="240"/>
      <c r="CM186" s="240" t="s">
        <v>890</v>
      </c>
      <c r="CN186" s="240"/>
      <c r="CO186" s="240"/>
      <c r="CP186" s="240"/>
      <c r="CQ186" s="240"/>
      <c r="CR186" s="240"/>
      <c r="CS186" s="296"/>
      <c r="CT186" s="240"/>
      <c r="CU186" s="240"/>
      <c r="CV186" s="240"/>
      <c r="CW186" s="240"/>
      <c r="CX186" s="240"/>
      <c r="CY186" s="240"/>
      <c r="CZ186" s="240"/>
      <c r="DA186" s="240"/>
      <c r="DB186" s="240"/>
      <c r="DC186" s="240"/>
      <c r="DD186" s="240"/>
      <c r="DE186" s="240"/>
      <c r="DF186" s="296"/>
      <c r="DG186" s="240"/>
      <c r="DH186" s="240"/>
      <c r="DI186" s="240"/>
      <c r="DJ186" s="240"/>
      <c r="DK186" s="240"/>
      <c r="DL186" s="240"/>
      <c r="DM186" s="240"/>
      <c r="DN186" s="298"/>
      <c r="DO186" s="298"/>
      <c r="DP186" s="298"/>
      <c r="DQ186" s="298"/>
      <c r="DR186" s="296"/>
      <c r="DS186" s="240" t="s">
        <v>890</v>
      </c>
      <c r="DT186" s="240" t="s">
        <v>890</v>
      </c>
      <c r="DU186" s="240"/>
      <c r="DV186" s="296"/>
      <c r="DW186" s="240"/>
      <c r="DX186" s="240"/>
      <c r="DY186" s="240"/>
      <c r="DZ186" s="240"/>
      <c r="EA186" s="240"/>
      <c r="EB186" s="240"/>
      <c r="EC186" s="240"/>
      <c r="ED186" s="240"/>
      <c r="EE186" s="240"/>
      <c r="EF186" s="296"/>
      <c r="EG186" s="240"/>
      <c r="EH186" s="240"/>
      <c r="EI186" s="240"/>
      <c r="EJ186" s="296"/>
      <c r="EK186" s="240"/>
      <c r="EL186" s="296"/>
      <c r="EM186" s="298"/>
      <c r="EN186" s="298"/>
      <c r="EO186" s="298"/>
      <c r="EP186" s="298"/>
      <c r="EQ186" s="298"/>
      <c r="ER186" s="298"/>
      <c r="ES186" s="298"/>
      <c r="ET186" s="298"/>
      <c r="EU186" s="240" t="s">
        <v>890</v>
      </c>
      <c r="EV186" s="240"/>
      <c r="EW186" s="298"/>
      <c r="EX186" s="300" t="s">
        <v>890</v>
      </c>
      <c r="EY186" s="240"/>
      <c r="EZ186" s="240"/>
      <c r="FA186" s="240"/>
      <c r="FB186" s="240"/>
      <c r="FC186" s="240"/>
      <c r="FD186" s="298" t="s">
        <v>890</v>
      </c>
      <c r="FE186" s="298"/>
      <c r="FF186" s="298"/>
      <c r="FG186" s="298"/>
      <c r="FH186" s="298"/>
      <c r="FI186" s="298" t="s">
        <v>890</v>
      </c>
      <c r="FJ186" s="298" t="s">
        <v>890</v>
      </c>
      <c r="FK186" s="298"/>
      <c r="FL186" s="298"/>
      <c r="FM186" s="298"/>
      <c r="FN186" s="298"/>
      <c r="FO186" s="296"/>
      <c r="FP186" s="298"/>
      <c r="FQ186" s="298"/>
      <c r="FR186" s="298"/>
      <c r="FS186" s="298"/>
      <c r="FT186" s="298"/>
      <c r="FU186" s="298"/>
      <c r="FV186" s="298"/>
      <c r="FW186" s="298"/>
      <c r="FX186" s="298"/>
      <c r="FY186" s="298"/>
      <c r="FZ186" s="296"/>
      <c r="GA186" s="301"/>
      <c r="GB186" s="240"/>
      <c r="GC186" s="296"/>
      <c r="GD186" s="240"/>
      <c r="GE186" s="240"/>
      <c r="GF186" s="240"/>
      <c r="GG186" s="240"/>
      <c r="GH186" s="296"/>
      <c r="GI186" s="240"/>
      <c r="GJ186" s="240"/>
      <c r="GK186" s="240"/>
      <c r="GL186" s="240"/>
      <c r="GM186" s="296"/>
      <c r="GN186" s="240"/>
      <c r="GO186" s="240"/>
      <c r="GP186" s="240"/>
      <c r="GQ186" s="240"/>
      <c r="GR186" s="240"/>
      <c r="GS186" s="240"/>
      <c r="GT186" s="240"/>
      <c r="GU186" s="240"/>
      <c r="GV186" s="240"/>
      <c r="GW186" s="240"/>
      <c r="GX186" s="240"/>
      <c r="GY186" s="240"/>
      <c r="GZ186" s="240"/>
      <c r="HA186" s="240"/>
      <c r="HB186" s="240"/>
      <c r="HC186" s="240"/>
      <c r="HD186" s="296"/>
      <c r="HE186" s="240"/>
      <c r="HF186" s="240"/>
      <c r="HG186" s="240"/>
      <c r="HH186" s="240"/>
      <c r="HI186" s="240"/>
      <c r="HJ186" s="296"/>
      <c r="HK186" s="240"/>
      <c r="HL186" s="296"/>
      <c r="HM186" s="241"/>
      <c r="HN186" s="235"/>
      <c r="HO186" s="235"/>
    </row>
    <row r="187" spans="2:225" hidden="1" outlineLevel="1">
      <c r="B187" s="251" t="s">
        <v>3003</v>
      </c>
      <c r="C187" s="288" t="str">
        <f>IF(D5='3. Dropdowns'!C7,"Hide",IF(E186="Project is following the NYC Prescriptive Pathway for Tenant in Place Rehabs","Hide","Show"))</f>
        <v>Show</v>
      </c>
      <c r="D187" s="236" t="s">
        <v>3275</v>
      </c>
      <c r="E187" s="248"/>
      <c r="F187" s="284" t="s">
        <v>540</v>
      </c>
      <c r="G187" s="268"/>
      <c r="H187" s="296"/>
      <c r="I187" s="302" t="s">
        <v>890</v>
      </c>
      <c r="J187" s="299" t="s">
        <v>890</v>
      </c>
      <c r="K187" s="299"/>
      <c r="L187" s="299"/>
      <c r="M187" s="299"/>
      <c r="N187" s="299"/>
      <c r="O187" s="299"/>
      <c r="P187" s="299"/>
      <c r="Q187" s="299"/>
      <c r="R187" s="299"/>
      <c r="S187" s="299"/>
      <c r="T187" s="240" t="s">
        <v>890</v>
      </c>
      <c r="U187" s="298"/>
      <c r="V187" s="298"/>
      <c r="W187" s="298"/>
      <c r="X187" s="296"/>
      <c r="Y187" s="298"/>
      <c r="Z187" s="298"/>
      <c r="AA187" s="298"/>
      <c r="AB187" s="298"/>
      <c r="AC187" s="298"/>
      <c r="AD187" s="298"/>
      <c r="AE187" s="298"/>
      <c r="AF187" s="298"/>
      <c r="AG187" s="298"/>
      <c r="AH187" s="296"/>
      <c r="AI187" s="298"/>
      <c r="AJ187" s="298"/>
      <c r="AK187" s="298"/>
      <c r="AL187" s="298"/>
      <c r="AM187" s="296"/>
      <c r="AN187" s="298"/>
      <c r="AO187" s="298"/>
      <c r="AP187" s="298"/>
      <c r="AQ187" s="296"/>
      <c r="AR187" s="298"/>
      <c r="AS187" s="298"/>
      <c r="AT187" s="298"/>
      <c r="AU187" s="298"/>
      <c r="AV187" s="298"/>
      <c r="AW187" s="298"/>
      <c r="AX187" s="298"/>
      <c r="AY187" s="298"/>
      <c r="AZ187" s="296"/>
      <c r="BA187" s="298"/>
      <c r="BB187" s="298"/>
      <c r="BC187" s="298"/>
      <c r="BD187" s="298"/>
      <c r="BE187" s="298"/>
      <c r="BF187" s="298"/>
      <c r="BG187" s="298"/>
      <c r="BH187" s="298"/>
      <c r="BI187" s="298"/>
      <c r="BJ187" s="298"/>
      <c r="BK187" s="298"/>
      <c r="BL187" s="298"/>
      <c r="BM187" s="298"/>
      <c r="BN187" s="298"/>
      <c r="BO187" s="298"/>
      <c r="BP187" s="296"/>
      <c r="BQ187" s="298"/>
      <c r="BR187" s="298"/>
      <c r="BS187" s="298"/>
      <c r="BT187" s="298"/>
      <c r="BU187" s="298"/>
      <c r="BV187" s="298"/>
      <c r="BW187" s="298"/>
      <c r="BX187" s="298"/>
      <c r="BY187" s="298"/>
      <c r="BZ187" s="298"/>
      <c r="CA187" s="298"/>
      <c r="CB187" s="298"/>
      <c r="CC187" s="298"/>
      <c r="CD187" s="298"/>
      <c r="CE187" s="298"/>
      <c r="CF187" s="296"/>
      <c r="CG187" s="298"/>
      <c r="CH187" s="298"/>
      <c r="CI187" s="298"/>
      <c r="CJ187" s="298"/>
      <c r="CK187" s="298"/>
      <c r="CL187" s="298"/>
      <c r="CM187" s="298"/>
      <c r="CN187" s="298"/>
      <c r="CO187" s="298"/>
      <c r="CP187" s="298"/>
      <c r="CQ187" s="298"/>
      <c r="CR187" s="298"/>
      <c r="CS187" s="296"/>
      <c r="CT187" s="298"/>
      <c r="CU187" s="298"/>
      <c r="CV187" s="298"/>
      <c r="CW187" s="298"/>
      <c r="CX187" s="298"/>
      <c r="CY187" s="298"/>
      <c r="CZ187" s="298"/>
      <c r="DA187" s="298"/>
      <c r="DB187" s="298"/>
      <c r="DC187" s="298"/>
      <c r="DD187" s="298"/>
      <c r="DE187" s="298"/>
      <c r="DF187" s="296"/>
      <c r="DG187" s="298"/>
      <c r="DH187" s="298"/>
      <c r="DI187" s="298"/>
      <c r="DJ187" s="298"/>
      <c r="DK187" s="298"/>
      <c r="DL187" s="298"/>
      <c r="DM187" s="298"/>
      <c r="DN187" s="298"/>
      <c r="DO187" s="298"/>
      <c r="DP187" s="298"/>
      <c r="DQ187" s="298"/>
      <c r="DR187" s="296"/>
      <c r="DS187" s="298"/>
      <c r="DT187" s="298"/>
      <c r="DU187" s="298"/>
      <c r="DV187" s="296"/>
      <c r="DW187" s="298"/>
      <c r="DX187" s="298"/>
      <c r="DY187" s="298"/>
      <c r="DZ187" s="298"/>
      <c r="EA187" s="298"/>
      <c r="EB187" s="298"/>
      <c r="EC187" s="298"/>
      <c r="ED187" s="298"/>
      <c r="EE187" s="298"/>
      <c r="EF187" s="296"/>
      <c r="EG187" s="298"/>
      <c r="EH187" s="298"/>
      <c r="EI187" s="298"/>
      <c r="EJ187" s="296"/>
      <c r="EK187" s="298"/>
      <c r="EL187" s="296"/>
      <c r="EM187" s="298"/>
      <c r="EN187" s="298"/>
      <c r="EO187" s="298"/>
      <c r="EP187" s="298"/>
      <c r="EQ187" s="298"/>
      <c r="ER187" s="298"/>
      <c r="ES187" s="298"/>
      <c r="ET187" s="298"/>
      <c r="EU187" s="298"/>
      <c r="EV187" s="298"/>
      <c r="EW187" s="298"/>
      <c r="EX187" s="300" t="s">
        <v>890</v>
      </c>
      <c r="EY187" s="240"/>
      <c r="EZ187" s="240"/>
      <c r="FA187" s="240"/>
      <c r="FB187" s="240"/>
      <c r="FC187" s="240"/>
      <c r="FD187" s="298"/>
      <c r="FE187" s="298"/>
      <c r="FF187" s="298"/>
      <c r="FG187" s="298"/>
      <c r="FH187" s="298"/>
      <c r="FI187" s="298"/>
      <c r="FJ187" s="298"/>
      <c r="FK187" s="298"/>
      <c r="FL187" s="298"/>
      <c r="FM187" s="298" t="s">
        <v>890</v>
      </c>
      <c r="FN187" s="298"/>
      <c r="FO187" s="296"/>
      <c r="FP187" s="298"/>
      <c r="FQ187" s="298"/>
      <c r="FR187" s="298"/>
      <c r="FS187" s="298"/>
      <c r="FT187" s="298"/>
      <c r="FU187" s="298"/>
      <c r="FV187" s="298"/>
      <c r="FW187" s="298"/>
      <c r="FX187" s="298"/>
      <c r="FY187" s="298"/>
      <c r="FZ187" s="296"/>
      <c r="GA187" s="301"/>
      <c r="GB187" s="240"/>
      <c r="GC187" s="296"/>
      <c r="GD187" s="240"/>
      <c r="GE187" s="240"/>
      <c r="GF187" s="240"/>
      <c r="GG187" s="240"/>
      <c r="GH187" s="296"/>
      <c r="GI187" s="240"/>
      <c r="GJ187" s="240"/>
      <c r="GK187" s="240"/>
      <c r="GL187" s="240"/>
      <c r="GM187" s="296"/>
      <c r="GN187" s="240"/>
      <c r="GO187" s="240"/>
      <c r="GP187" s="240"/>
      <c r="GQ187" s="240"/>
      <c r="GR187" s="240"/>
      <c r="GS187" s="240"/>
      <c r="GT187" s="240"/>
      <c r="GU187" s="240"/>
      <c r="GV187" s="240"/>
      <c r="GW187" s="240"/>
      <c r="GX187" s="240"/>
      <c r="GY187" s="240"/>
      <c r="GZ187" s="240"/>
      <c r="HA187" s="240"/>
      <c r="HB187" s="240"/>
      <c r="HC187" s="240"/>
      <c r="HD187" s="296"/>
      <c r="HE187" s="240"/>
      <c r="HF187" s="240"/>
      <c r="HG187" s="240"/>
      <c r="HH187" s="240"/>
      <c r="HI187" s="240"/>
      <c r="HJ187" s="296"/>
      <c r="HK187" s="240"/>
      <c r="HL187" s="296"/>
      <c r="HM187" s="241"/>
      <c r="HN187" s="235"/>
      <c r="HO187" s="235"/>
    </row>
    <row r="188" spans="2:225" ht="37.5" hidden="1" outlineLevel="1">
      <c r="B188" s="251" t="s">
        <v>3003</v>
      </c>
      <c r="C188" s="288" t="str">
        <f>IF(D5='3. Dropdowns'!C7,"Hide",IF(E186="Project is following the NYC Prescriptive Pathway for Tenant in Place Rehabs","Hide","Show"))</f>
        <v>Show</v>
      </c>
      <c r="D188" s="236" t="s">
        <v>3276</v>
      </c>
      <c r="E188" s="248"/>
      <c r="F188" s="284" t="s">
        <v>539</v>
      </c>
      <c r="G188" s="268"/>
      <c r="H188" s="296"/>
      <c r="I188" s="297" t="s">
        <v>890</v>
      </c>
      <c r="J188" s="298" t="s">
        <v>890</v>
      </c>
      <c r="K188" s="299"/>
      <c r="L188" s="299"/>
      <c r="M188" s="299"/>
      <c r="N188" s="299"/>
      <c r="O188" s="299"/>
      <c r="P188" s="299"/>
      <c r="Q188" s="299"/>
      <c r="R188" s="299"/>
      <c r="S188" s="299"/>
      <c r="T188" s="240" t="s">
        <v>890</v>
      </c>
      <c r="U188" s="298" t="s">
        <v>890</v>
      </c>
      <c r="V188" s="298"/>
      <c r="W188" s="298"/>
      <c r="X188" s="296"/>
      <c r="Y188" s="298"/>
      <c r="Z188" s="298"/>
      <c r="AA188" s="298"/>
      <c r="AB188" s="298"/>
      <c r="AC188" s="298"/>
      <c r="AD188" s="298"/>
      <c r="AE188" s="298"/>
      <c r="AF188" s="298"/>
      <c r="AG188" s="298"/>
      <c r="AH188" s="296"/>
      <c r="AI188" s="298"/>
      <c r="AJ188" s="298"/>
      <c r="AK188" s="298"/>
      <c r="AL188" s="298"/>
      <c r="AM188" s="296"/>
      <c r="AN188" s="298"/>
      <c r="AO188" s="298"/>
      <c r="AP188" s="298"/>
      <c r="AQ188" s="296"/>
      <c r="AR188" s="298"/>
      <c r="AS188" s="298"/>
      <c r="AT188" s="298"/>
      <c r="AU188" s="298"/>
      <c r="AV188" s="298"/>
      <c r="AW188" s="298"/>
      <c r="AX188" s="298"/>
      <c r="AY188" s="298"/>
      <c r="AZ188" s="296"/>
      <c r="BA188" s="298"/>
      <c r="BB188" s="298"/>
      <c r="BC188" s="298"/>
      <c r="BD188" s="298"/>
      <c r="BE188" s="298"/>
      <c r="BF188" s="298"/>
      <c r="BG188" s="298"/>
      <c r="BH188" s="298"/>
      <c r="BI188" s="298"/>
      <c r="BJ188" s="298"/>
      <c r="BK188" s="298"/>
      <c r="BL188" s="298"/>
      <c r="BM188" s="298"/>
      <c r="BN188" s="298"/>
      <c r="BO188" s="298"/>
      <c r="BP188" s="296"/>
      <c r="BQ188" s="298"/>
      <c r="BR188" s="298"/>
      <c r="BS188" s="298"/>
      <c r="BT188" s="298"/>
      <c r="BU188" s="298"/>
      <c r="BV188" s="298" t="s">
        <v>890</v>
      </c>
      <c r="BW188" s="298"/>
      <c r="BX188" s="298"/>
      <c r="BY188" s="298"/>
      <c r="BZ188" s="298"/>
      <c r="CA188" s="298"/>
      <c r="CB188" s="298"/>
      <c r="CC188" s="298"/>
      <c r="CD188" s="298"/>
      <c r="CE188" s="298"/>
      <c r="CF188" s="296"/>
      <c r="CG188" s="298"/>
      <c r="CH188" s="298"/>
      <c r="CI188" s="298"/>
      <c r="CJ188" s="298"/>
      <c r="CK188" s="298"/>
      <c r="CL188" s="298"/>
      <c r="CM188" s="298"/>
      <c r="CN188" s="298"/>
      <c r="CO188" s="298"/>
      <c r="CP188" s="298"/>
      <c r="CQ188" s="298"/>
      <c r="CR188" s="298"/>
      <c r="CS188" s="296"/>
      <c r="CT188" s="298"/>
      <c r="CU188" s="298"/>
      <c r="CV188" s="298"/>
      <c r="CW188" s="298"/>
      <c r="CX188" s="298"/>
      <c r="CY188" s="298"/>
      <c r="CZ188" s="298"/>
      <c r="DA188" s="298"/>
      <c r="DB188" s="298"/>
      <c r="DC188" s="298"/>
      <c r="DD188" s="298"/>
      <c r="DE188" s="298"/>
      <c r="DF188" s="296"/>
      <c r="DG188" s="298"/>
      <c r="DH188" s="298"/>
      <c r="DI188" s="298"/>
      <c r="DJ188" s="298"/>
      <c r="DK188" s="298"/>
      <c r="DL188" s="298"/>
      <c r="DM188" s="298"/>
      <c r="DN188" s="298"/>
      <c r="DO188" s="298"/>
      <c r="DP188" s="298"/>
      <c r="DQ188" s="298"/>
      <c r="DR188" s="296"/>
      <c r="DS188" s="298"/>
      <c r="DT188" s="298"/>
      <c r="DU188" s="298"/>
      <c r="DV188" s="296"/>
      <c r="DW188" s="298"/>
      <c r="DX188" s="298"/>
      <c r="DY188" s="298"/>
      <c r="DZ188" s="298"/>
      <c r="EA188" s="298"/>
      <c r="EB188" s="298"/>
      <c r="EC188" s="298"/>
      <c r="ED188" s="298"/>
      <c r="EE188" s="298"/>
      <c r="EF188" s="296"/>
      <c r="EG188" s="298"/>
      <c r="EH188" s="298"/>
      <c r="EI188" s="298"/>
      <c r="EJ188" s="296"/>
      <c r="EK188" s="298"/>
      <c r="EL188" s="296"/>
      <c r="EM188" s="298"/>
      <c r="EN188" s="298"/>
      <c r="EO188" s="298"/>
      <c r="EP188" s="298"/>
      <c r="EQ188" s="298"/>
      <c r="ER188" s="298"/>
      <c r="ES188" s="298"/>
      <c r="ET188" s="298"/>
      <c r="EU188" s="298"/>
      <c r="EV188" s="298"/>
      <c r="EW188" s="298"/>
      <c r="EX188" s="300"/>
      <c r="EY188" s="298"/>
      <c r="EZ188" s="298"/>
      <c r="FA188" s="298"/>
      <c r="FB188" s="298"/>
      <c r="FC188" s="298"/>
      <c r="FD188" s="298"/>
      <c r="FE188" s="298"/>
      <c r="FF188" s="298"/>
      <c r="FG188" s="298"/>
      <c r="FH188" s="298"/>
      <c r="FI188" s="298"/>
      <c r="FJ188" s="298"/>
      <c r="FK188" s="298"/>
      <c r="FL188" s="298"/>
      <c r="FM188" s="298"/>
      <c r="FN188" s="298"/>
      <c r="FO188" s="296"/>
      <c r="FP188" s="298"/>
      <c r="FQ188" s="298"/>
      <c r="FR188" s="298"/>
      <c r="FS188" s="298"/>
      <c r="FT188" s="298"/>
      <c r="FU188" s="298"/>
      <c r="FV188" s="298"/>
      <c r="FW188" s="298"/>
      <c r="FX188" s="298"/>
      <c r="FY188" s="298"/>
      <c r="FZ188" s="296"/>
      <c r="GA188" s="301"/>
      <c r="GB188" s="240"/>
      <c r="GC188" s="296"/>
      <c r="GD188" s="240"/>
      <c r="GE188" s="240"/>
      <c r="GF188" s="240"/>
      <c r="GG188" s="240"/>
      <c r="GH188" s="296"/>
      <c r="GI188" s="240"/>
      <c r="GJ188" s="240"/>
      <c r="GK188" s="240"/>
      <c r="GL188" s="240"/>
      <c r="GM188" s="296"/>
      <c r="GN188" s="240"/>
      <c r="GO188" s="240"/>
      <c r="GP188" s="240"/>
      <c r="GQ188" s="240"/>
      <c r="GR188" s="240"/>
      <c r="GS188" s="240"/>
      <c r="GT188" s="240"/>
      <c r="GU188" s="240"/>
      <c r="GV188" s="240"/>
      <c r="GW188" s="240"/>
      <c r="GX188" s="240"/>
      <c r="GY188" s="240"/>
      <c r="GZ188" s="240"/>
      <c r="HA188" s="240"/>
      <c r="HB188" s="240"/>
      <c r="HC188" s="240"/>
      <c r="HD188" s="296"/>
      <c r="HE188" s="240"/>
      <c r="HF188" s="240"/>
      <c r="HG188" s="240"/>
      <c r="HH188" s="240"/>
      <c r="HI188" s="240"/>
      <c r="HJ188" s="296"/>
      <c r="HK188" s="240"/>
      <c r="HL188" s="296"/>
      <c r="HM188" s="241"/>
      <c r="HN188" s="235"/>
      <c r="HO188" s="235"/>
    </row>
    <row r="189" spans="2:225" hidden="1" outlineLevel="1">
      <c r="B189" s="251" t="s">
        <v>3003</v>
      </c>
      <c r="C189" s="288" t="str">
        <f>IF(D5='3. Dropdowns'!C7,"Hide",IF(E186="Project is following the NYC Prescriptive Pathway for Tenant in Place Rehabs","Hide","Show"))</f>
        <v>Show</v>
      </c>
      <c r="D189" s="236" t="s">
        <v>3277</v>
      </c>
      <c r="E189" s="248"/>
      <c r="F189" s="284" t="str">
        <f>IF(E189='3. Dropdowns'!C190,"","Submittals, Execution")</f>
        <v>Submittals, Execution</v>
      </c>
      <c r="G189" s="268"/>
      <c r="H189" s="296"/>
      <c r="I189" s="302" t="s">
        <v>890</v>
      </c>
      <c r="J189" s="299" t="s">
        <v>890</v>
      </c>
      <c r="K189" s="299"/>
      <c r="L189" s="299"/>
      <c r="M189" s="299"/>
      <c r="N189" s="299"/>
      <c r="O189" s="299"/>
      <c r="P189" s="299"/>
      <c r="Q189" s="299"/>
      <c r="R189" s="299"/>
      <c r="S189" s="299"/>
      <c r="T189" s="240" t="s">
        <v>890</v>
      </c>
      <c r="U189" s="298"/>
      <c r="V189" s="298"/>
      <c r="W189" s="298"/>
      <c r="X189" s="296"/>
      <c r="Y189" s="298"/>
      <c r="Z189" s="298"/>
      <c r="AA189" s="298"/>
      <c r="AB189" s="298"/>
      <c r="AC189" s="298"/>
      <c r="AD189" s="298"/>
      <c r="AE189" s="298"/>
      <c r="AF189" s="298"/>
      <c r="AG189" s="298"/>
      <c r="AH189" s="296"/>
      <c r="AI189" s="298"/>
      <c r="AJ189" s="298"/>
      <c r="AK189" s="298"/>
      <c r="AL189" s="298"/>
      <c r="AM189" s="296"/>
      <c r="AN189" s="298"/>
      <c r="AO189" s="298"/>
      <c r="AP189" s="298"/>
      <c r="AQ189" s="296"/>
      <c r="AR189" s="298"/>
      <c r="AS189" s="298"/>
      <c r="AT189" s="298"/>
      <c r="AU189" s="298"/>
      <c r="AV189" s="298"/>
      <c r="AW189" s="298"/>
      <c r="AX189" s="298"/>
      <c r="AY189" s="298"/>
      <c r="AZ189" s="296"/>
      <c r="BA189" s="298"/>
      <c r="BB189" s="298"/>
      <c r="BC189" s="298"/>
      <c r="BD189" s="298"/>
      <c r="BE189" s="298"/>
      <c r="BF189" s="298"/>
      <c r="BG189" s="298"/>
      <c r="BH189" s="298"/>
      <c r="BI189" s="298"/>
      <c r="BJ189" s="298"/>
      <c r="BK189" s="298"/>
      <c r="BL189" s="298"/>
      <c r="BM189" s="298"/>
      <c r="BN189" s="298"/>
      <c r="BO189" s="298"/>
      <c r="BP189" s="296"/>
      <c r="BQ189" s="298"/>
      <c r="BR189" s="298" t="s">
        <v>890</v>
      </c>
      <c r="BS189" s="240" t="s">
        <v>890</v>
      </c>
      <c r="BT189" s="240"/>
      <c r="BU189" s="240"/>
      <c r="BV189" s="240"/>
      <c r="BW189" s="240"/>
      <c r="BX189" s="298"/>
      <c r="BY189" s="298"/>
      <c r="BZ189" s="298"/>
      <c r="CA189" s="298"/>
      <c r="CB189" s="298"/>
      <c r="CC189" s="298"/>
      <c r="CD189" s="298"/>
      <c r="CE189" s="298"/>
      <c r="CF189" s="296"/>
      <c r="CG189" s="298"/>
      <c r="CH189" s="298"/>
      <c r="CI189" s="298"/>
      <c r="CJ189" s="298"/>
      <c r="CK189" s="298"/>
      <c r="CL189" s="298"/>
      <c r="CM189" s="298"/>
      <c r="CN189" s="298"/>
      <c r="CO189" s="298"/>
      <c r="CP189" s="298"/>
      <c r="CQ189" s="298"/>
      <c r="CR189" s="298"/>
      <c r="CS189" s="296"/>
      <c r="CT189" s="298"/>
      <c r="CU189" s="298"/>
      <c r="CV189" s="298"/>
      <c r="CW189" s="298"/>
      <c r="CX189" s="298"/>
      <c r="CY189" s="298"/>
      <c r="CZ189" s="298"/>
      <c r="DA189" s="298"/>
      <c r="DB189" s="298"/>
      <c r="DC189" s="298"/>
      <c r="DD189" s="298"/>
      <c r="DE189" s="298"/>
      <c r="DF189" s="296"/>
      <c r="DG189" s="298"/>
      <c r="DH189" s="298"/>
      <c r="DI189" s="298"/>
      <c r="DJ189" s="298"/>
      <c r="DK189" s="298"/>
      <c r="DL189" s="298"/>
      <c r="DM189" s="298"/>
      <c r="DN189" s="298"/>
      <c r="DO189" s="298"/>
      <c r="DP189" s="298"/>
      <c r="DQ189" s="298"/>
      <c r="DR189" s="296"/>
      <c r="DS189" s="298"/>
      <c r="DT189" s="298"/>
      <c r="DU189" s="298"/>
      <c r="DV189" s="296"/>
      <c r="DW189" s="298"/>
      <c r="DX189" s="298"/>
      <c r="DY189" s="298"/>
      <c r="DZ189" s="298"/>
      <c r="EA189" s="298"/>
      <c r="EB189" s="298"/>
      <c r="EC189" s="298"/>
      <c r="ED189" s="298"/>
      <c r="EE189" s="298"/>
      <c r="EF189" s="296"/>
      <c r="EG189" s="298"/>
      <c r="EH189" s="298"/>
      <c r="EI189" s="298"/>
      <c r="EJ189" s="296"/>
      <c r="EK189" s="298"/>
      <c r="EL189" s="296"/>
      <c r="EM189" s="298"/>
      <c r="EN189" s="298"/>
      <c r="EO189" s="298"/>
      <c r="EP189" s="298"/>
      <c r="EQ189" s="298"/>
      <c r="ER189" s="298"/>
      <c r="ES189" s="298"/>
      <c r="ET189" s="298"/>
      <c r="EU189" s="298"/>
      <c r="EV189" s="298"/>
      <c r="EW189" s="298"/>
      <c r="EX189" s="300" t="s">
        <v>890</v>
      </c>
      <c r="EY189" s="298"/>
      <c r="EZ189" s="298"/>
      <c r="FA189" s="298"/>
      <c r="FB189" s="298"/>
      <c r="FC189" s="298"/>
      <c r="FD189" s="298"/>
      <c r="FE189" s="298"/>
      <c r="FF189" s="298"/>
      <c r="FG189" s="298"/>
      <c r="FH189" s="298"/>
      <c r="FI189" s="298"/>
      <c r="FJ189" s="298"/>
      <c r="FK189" s="298"/>
      <c r="FL189" s="298"/>
      <c r="FM189" s="298"/>
      <c r="FN189" s="298"/>
      <c r="FO189" s="296"/>
      <c r="FP189" s="298"/>
      <c r="FQ189" s="298"/>
      <c r="FR189" s="298"/>
      <c r="FS189" s="298"/>
      <c r="FT189" s="298"/>
      <c r="FU189" s="298"/>
      <c r="FV189" s="298"/>
      <c r="FW189" s="298"/>
      <c r="FX189" s="298"/>
      <c r="FY189" s="298"/>
      <c r="FZ189" s="296"/>
      <c r="GA189" s="301"/>
      <c r="GB189" s="240"/>
      <c r="GC189" s="296"/>
      <c r="GD189" s="240"/>
      <c r="GE189" s="240"/>
      <c r="GF189" s="240"/>
      <c r="GG189" s="240"/>
      <c r="GH189" s="296"/>
      <c r="GI189" s="240"/>
      <c r="GJ189" s="240"/>
      <c r="GK189" s="240"/>
      <c r="GL189" s="240"/>
      <c r="GM189" s="296"/>
      <c r="GN189" s="240"/>
      <c r="GO189" s="240"/>
      <c r="GP189" s="240"/>
      <c r="GQ189" s="240"/>
      <c r="GR189" s="240"/>
      <c r="GS189" s="240"/>
      <c r="GT189" s="240"/>
      <c r="GU189" s="240"/>
      <c r="GV189" s="240"/>
      <c r="GW189" s="240"/>
      <c r="GX189" s="240"/>
      <c r="GY189" s="240"/>
      <c r="GZ189" s="240"/>
      <c r="HA189" s="240"/>
      <c r="HB189" s="240"/>
      <c r="HC189" s="240"/>
      <c r="HD189" s="296"/>
      <c r="HE189" s="240"/>
      <c r="HF189" s="240"/>
      <c r="HG189" s="240"/>
      <c r="HH189" s="240"/>
      <c r="HI189" s="240"/>
      <c r="HJ189" s="296"/>
      <c r="HK189" s="240"/>
      <c r="HL189" s="296"/>
      <c r="HM189" s="241"/>
      <c r="HN189" s="235"/>
      <c r="HO189" s="235"/>
    </row>
    <row r="190" spans="2:225" hidden="1" outlineLevel="1">
      <c r="B190" s="275"/>
      <c r="C190" s="258" t="s">
        <v>116</v>
      </c>
      <c r="D190" s="236" t="s">
        <v>3278</v>
      </c>
      <c r="E190" s="248"/>
      <c r="F190" s="284" t="str">
        <f>IF(E190='3. Dropdowns'!C191,"","Submittals, Products, Execution")</f>
        <v>Submittals, Products, Execution</v>
      </c>
      <c r="G190" s="268"/>
      <c r="H190" s="296"/>
      <c r="I190" s="297" t="s">
        <v>890</v>
      </c>
      <c r="J190" s="298" t="s">
        <v>890</v>
      </c>
      <c r="K190" s="298"/>
      <c r="L190" s="298" t="s">
        <v>890</v>
      </c>
      <c r="M190" s="299"/>
      <c r="N190" s="299"/>
      <c r="O190" s="299"/>
      <c r="P190" s="299"/>
      <c r="Q190" s="299"/>
      <c r="R190" s="299" t="s">
        <v>890</v>
      </c>
      <c r="S190" s="299"/>
      <c r="T190" s="240" t="s">
        <v>890</v>
      </c>
      <c r="U190" s="298"/>
      <c r="V190" s="298"/>
      <c r="W190" s="298"/>
      <c r="X190" s="296"/>
      <c r="Y190" s="298"/>
      <c r="Z190" s="298"/>
      <c r="AA190" s="298"/>
      <c r="AB190" s="298"/>
      <c r="AC190" s="298"/>
      <c r="AD190" s="298"/>
      <c r="AE190" s="298"/>
      <c r="AF190" s="298"/>
      <c r="AG190" s="298"/>
      <c r="AH190" s="296"/>
      <c r="AI190" s="298"/>
      <c r="AJ190" s="298"/>
      <c r="AK190" s="298"/>
      <c r="AL190" s="298"/>
      <c r="AM190" s="296"/>
      <c r="AN190" s="298"/>
      <c r="AO190" s="298"/>
      <c r="AP190" s="298"/>
      <c r="AQ190" s="296"/>
      <c r="AR190" s="298"/>
      <c r="AS190" s="298"/>
      <c r="AT190" s="298"/>
      <c r="AU190" s="298"/>
      <c r="AV190" s="298"/>
      <c r="AW190" s="298"/>
      <c r="AX190" s="298"/>
      <c r="AY190" s="298"/>
      <c r="AZ190" s="296"/>
      <c r="BA190" s="298"/>
      <c r="BB190" s="298"/>
      <c r="BC190" s="298"/>
      <c r="BD190" s="298"/>
      <c r="BE190" s="298"/>
      <c r="BF190" s="298"/>
      <c r="BG190" s="298"/>
      <c r="BH190" s="298"/>
      <c r="BI190" s="298"/>
      <c r="BJ190" s="298"/>
      <c r="BK190" s="298"/>
      <c r="BL190" s="298"/>
      <c r="BM190" s="298"/>
      <c r="BN190" s="298"/>
      <c r="BO190" s="298"/>
      <c r="BP190" s="296"/>
      <c r="BQ190" s="298"/>
      <c r="BR190" s="298" t="s">
        <v>890</v>
      </c>
      <c r="BS190" s="240" t="s">
        <v>890</v>
      </c>
      <c r="BT190" s="240"/>
      <c r="BU190" s="240"/>
      <c r="BV190" s="240" t="s">
        <v>890</v>
      </c>
      <c r="BW190" s="240"/>
      <c r="BX190" s="298"/>
      <c r="BY190" s="298"/>
      <c r="BZ190" s="298"/>
      <c r="CA190" s="298"/>
      <c r="CB190" s="298"/>
      <c r="CC190" s="298"/>
      <c r="CD190" s="298"/>
      <c r="CE190" s="298"/>
      <c r="CF190" s="296"/>
      <c r="CG190" s="240" t="s">
        <v>890</v>
      </c>
      <c r="CH190" s="240"/>
      <c r="CI190" s="240"/>
      <c r="CJ190" s="240"/>
      <c r="CK190" s="240"/>
      <c r="CL190" s="240"/>
      <c r="CM190" s="240" t="s">
        <v>890</v>
      </c>
      <c r="CN190" s="240"/>
      <c r="CO190" s="240"/>
      <c r="CP190" s="240"/>
      <c r="CQ190" s="240"/>
      <c r="CR190" s="240"/>
      <c r="CS190" s="296"/>
      <c r="CT190" s="240"/>
      <c r="CU190" s="240"/>
      <c r="CV190" s="240"/>
      <c r="CW190" s="240"/>
      <c r="CX190" s="240"/>
      <c r="CY190" s="240"/>
      <c r="CZ190" s="240"/>
      <c r="DA190" s="240"/>
      <c r="DB190" s="240"/>
      <c r="DC190" s="240"/>
      <c r="DD190" s="240"/>
      <c r="DE190" s="240"/>
      <c r="DF190" s="296"/>
      <c r="DG190" s="240"/>
      <c r="DH190" s="240"/>
      <c r="DI190" s="240"/>
      <c r="DJ190" s="240"/>
      <c r="DK190" s="240"/>
      <c r="DL190" s="240"/>
      <c r="DM190" s="240"/>
      <c r="DN190" s="298"/>
      <c r="DO190" s="298"/>
      <c r="DP190" s="298"/>
      <c r="DQ190" s="298"/>
      <c r="DR190" s="296"/>
      <c r="DS190" s="240" t="s">
        <v>890</v>
      </c>
      <c r="DT190" s="240" t="s">
        <v>890</v>
      </c>
      <c r="DU190" s="240"/>
      <c r="DV190" s="296"/>
      <c r="DW190" s="240"/>
      <c r="DX190" s="240"/>
      <c r="DY190" s="240"/>
      <c r="DZ190" s="240"/>
      <c r="EA190" s="240"/>
      <c r="EB190" s="240"/>
      <c r="EC190" s="240"/>
      <c r="ED190" s="240"/>
      <c r="EE190" s="240"/>
      <c r="EF190" s="296"/>
      <c r="EG190" s="240"/>
      <c r="EH190" s="240"/>
      <c r="EI190" s="240"/>
      <c r="EJ190" s="296"/>
      <c r="EK190" s="240"/>
      <c r="EL190" s="296"/>
      <c r="EM190" s="298"/>
      <c r="EN190" s="298"/>
      <c r="EO190" s="298"/>
      <c r="EP190" s="298"/>
      <c r="EQ190" s="298"/>
      <c r="ER190" s="298"/>
      <c r="ES190" s="298"/>
      <c r="ET190" s="298"/>
      <c r="EU190" s="240" t="s">
        <v>890</v>
      </c>
      <c r="EV190" s="240" t="s">
        <v>890</v>
      </c>
      <c r="EW190" s="298"/>
      <c r="EX190" s="300" t="s">
        <v>890</v>
      </c>
      <c r="EY190" s="240"/>
      <c r="EZ190" s="240"/>
      <c r="FA190" s="240" t="s">
        <v>890</v>
      </c>
      <c r="FB190" s="240"/>
      <c r="FC190" s="240"/>
      <c r="FD190" s="298" t="s">
        <v>890</v>
      </c>
      <c r="FE190" s="298"/>
      <c r="FF190" s="298"/>
      <c r="FG190" s="298"/>
      <c r="FH190" s="298"/>
      <c r="FI190" s="298" t="s">
        <v>890</v>
      </c>
      <c r="FJ190" s="298" t="s">
        <v>890</v>
      </c>
      <c r="FK190" s="298" t="s">
        <v>890</v>
      </c>
      <c r="FL190" s="298"/>
      <c r="FM190" s="298" t="s">
        <v>890</v>
      </c>
      <c r="FN190" s="298"/>
      <c r="FO190" s="296"/>
      <c r="FP190" s="298"/>
      <c r="FQ190" s="298"/>
      <c r="FR190" s="298"/>
      <c r="FS190" s="298"/>
      <c r="FT190" s="298"/>
      <c r="FU190" s="298"/>
      <c r="FV190" s="298"/>
      <c r="FW190" s="298"/>
      <c r="FX190" s="298"/>
      <c r="FY190" s="298"/>
      <c r="FZ190" s="296"/>
      <c r="GA190" s="301"/>
      <c r="GB190" s="240"/>
      <c r="GC190" s="296"/>
      <c r="GD190" s="240"/>
      <c r="GE190" s="240"/>
      <c r="GF190" s="240"/>
      <c r="GG190" s="240"/>
      <c r="GH190" s="296"/>
      <c r="GI190" s="240"/>
      <c r="GJ190" s="240"/>
      <c r="GK190" s="240"/>
      <c r="GL190" s="240"/>
      <c r="GM190" s="296"/>
      <c r="GN190" s="240"/>
      <c r="GO190" s="240"/>
      <c r="GP190" s="240"/>
      <c r="GQ190" s="240"/>
      <c r="GR190" s="240"/>
      <c r="GS190" s="240"/>
      <c r="GT190" s="240"/>
      <c r="GU190" s="240"/>
      <c r="GV190" s="240"/>
      <c r="GW190" s="240"/>
      <c r="GX190" s="240"/>
      <c r="GY190" s="240"/>
      <c r="GZ190" s="240"/>
      <c r="HA190" s="240"/>
      <c r="HB190" s="240"/>
      <c r="HC190" s="240"/>
      <c r="HD190" s="296"/>
      <c r="HE190" s="240"/>
      <c r="HF190" s="240"/>
      <c r="HG190" s="240"/>
      <c r="HH190" s="240"/>
      <c r="HI190" s="240"/>
      <c r="HJ190" s="296"/>
      <c r="HK190" s="240"/>
      <c r="HL190" s="296"/>
      <c r="HM190" s="241"/>
      <c r="HN190" s="235"/>
      <c r="HO190" s="235"/>
    </row>
    <row r="191" spans="2:225" ht="37.5" hidden="1" outlineLevel="1">
      <c r="B191" s="303" t="s">
        <v>408</v>
      </c>
      <c r="C191" s="252" t="str">
        <f>IF(OR(D5='3. Dropdowns'!C8,D5='3. Dropdowns'!C9),"Hide","Show")</f>
        <v>Show</v>
      </c>
      <c r="D191" s="236" t="s">
        <v>3279</v>
      </c>
      <c r="E191" s="248"/>
      <c r="F191" s="284" t="s">
        <v>540</v>
      </c>
      <c r="G191" s="268"/>
      <c r="H191" s="296"/>
      <c r="I191" s="302"/>
      <c r="J191" s="299" t="s">
        <v>890</v>
      </c>
      <c r="K191" s="299"/>
      <c r="L191" s="299"/>
      <c r="M191" s="299"/>
      <c r="N191" s="299"/>
      <c r="O191" s="299"/>
      <c r="P191" s="299"/>
      <c r="Q191" s="299"/>
      <c r="R191" s="299"/>
      <c r="S191" s="299"/>
      <c r="T191" s="240" t="s">
        <v>890</v>
      </c>
      <c r="U191" s="298"/>
      <c r="V191" s="298"/>
      <c r="W191" s="298"/>
      <c r="X191" s="296"/>
      <c r="Y191" s="298"/>
      <c r="Z191" s="298"/>
      <c r="AA191" s="298"/>
      <c r="AB191" s="298"/>
      <c r="AC191" s="298"/>
      <c r="AD191" s="298"/>
      <c r="AE191" s="298"/>
      <c r="AF191" s="298"/>
      <c r="AG191" s="298"/>
      <c r="AH191" s="296"/>
      <c r="AI191" s="298"/>
      <c r="AJ191" s="298"/>
      <c r="AK191" s="298"/>
      <c r="AL191" s="298"/>
      <c r="AM191" s="296"/>
      <c r="AN191" s="298"/>
      <c r="AO191" s="298"/>
      <c r="AP191" s="298"/>
      <c r="AQ191" s="296"/>
      <c r="AR191" s="298"/>
      <c r="AS191" s="298"/>
      <c r="AT191" s="298"/>
      <c r="AU191" s="298"/>
      <c r="AV191" s="298"/>
      <c r="AW191" s="298"/>
      <c r="AX191" s="298"/>
      <c r="AY191" s="298"/>
      <c r="AZ191" s="296"/>
      <c r="BA191" s="298"/>
      <c r="BB191" s="298"/>
      <c r="BC191" s="298"/>
      <c r="BD191" s="298"/>
      <c r="BE191" s="298"/>
      <c r="BF191" s="298"/>
      <c r="BG191" s="298"/>
      <c r="BH191" s="298"/>
      <c r="BI191" s="298"/>
      <c r="BJ191" s="298"/>
      <c r="BK191" s="298"/>
      <c r="BL191" s="298"/>
      <c r="BM191" s="298"/>
      <c r="BN191" s="298"/>
      <c r="BO191" s="298"/>
      <c r="BP191" s="296"/>
      <c r="BQ191" s="298"/>
      <c r="BR191" s="298"/>
      <c r="BS191" s="298"/>
      <c r="BT191" s="298"/>
      <c r="BU191" s="298"/>
      <c r="BV191" s="298"/>
      <c r="BW191" s="298"/>
      <c r="BX191" s="298"/>
      <c r="BY191" s="298"/>
      <c r="BZ191" s="298"/>
      <c r="CA191" s="298"/>
      <c r="CB191" s="298"/>
      <c r="CC191" s="298"/>
      <c r="CD191" s="298"/>
      <c r="CE191" s="298"/>
      <c r="CF191" s="296"/>
      <c r="CG191" s="298"/>
      <c r="CH191" s="298"/>
      <c r="CI191" s="298"/>
      <c r="CJ191" s="298"/>
      <c r="CK191" s="298"/>
      <c r="CL191" s="298"/>
      <c r="CM191" s="298"/>
      <c r="CN191" s="298"/>
      <c r="CO191" s="298"/>
      <c r="CP191" s="298"/>
      <c r="CQ191" s="298"/>
      <c r="CR191" s="298"/>
      <c r="CS191" s="296"/>
      <c r="CT191" s="298"/>
      <c r="CU191" s="298"/>
      <c r="CV191" s="298"/>
      <c r="CW191" s="298"/>
      <c r="CX191" s="298"/>
      <c r="CY191" s="298"/>
      <c r="CZ191" s="298"/>
      <c r="DA191" s="298"/>
      <c r="DB191" s="298"/>
      <c r="DC191" s="298"/>
      <c r="DD191" s="298"/>
      <c r="DE191" s="298"/>
      <c r="DF191" s="296"/>
      <c r="DG191" s="298"/>
      <c r="DH191" s="298"/>
      <c r="DI191" s="298"/>
      <c r="DJ191" s="298"/>
      <c r="DK191" s="298"/>
      <c r="DL191" s="298"/>
      <c r="DM191" s="298"/>
      <c r="DN191" s="298"/>
      <c r="DO191" s="298"/>
      <c r="DP191" s="298"/>
      <c r="DQ191" s="298"/>
      <c r="DR191" s="296"/>
      <c r="DS191" s="298" t="s">
        <v>890</v>
      </c>
      <c r="DT191" s="298" t="s">
        <v>890</v>
      </c>
      <c r="DU191" s="298"/>
      <c r="DV191" s="296"/>
      <c r="DW191" s="298"/>
      <c r="DX191" s="298"/>
      <c r="DY191" s="298"/>
      <c r="DZ191" s="298"/>
      <c r="EA191" s="298"/>
      <c r="EB191" s="298"/>
      <c r="EC191" s="298"/>
      <c r="ED191" s="298"/>
      <c r="EE191" s="298"/>
      <c r="EF191" s="296"/>
      <c r="EG191" s="298"/>
      <c r="EH191" s="298"/>
      <c r="EI191" s="298"/>
      <c r="EJ191" s="296"/>
      <c r="EK191" s="298"/>
      <c r="EL191" s="296"/>
      <c r="EM191" s="298"/>
      <c r="EN191" s="298"/>
      <c r="EO191" s="298"/>
      <c r="EP191" s="298"/>
      <c r="EQ191" s="298"/>
      <c r="ER191" s="298" t="s">
        <v>890</v>
      </c>
      <c r="ES191" s="298"/>
      <c r="ET191" s="298"/>
      <c r="EU191" s="298" t="s">
        <v>890</v>
      </c>
      <c r="EV191" s="298"/>
      <c r="EW191" s="298"/>
      <c r="EX191" s="304"/>
      <c r="EY191" s="298"/>
      <c r="EZ191" s="298"/>
      <c r="FA191" s="298"/>
      <c r="FB191" s="298"/>
      <c r="FC191" s="298"/>
      <c r="FD191" s="298"/>
      <c r="FE191" s="298"/>
      <c r="FF191" s="298"/>
      <c r="FG191" s="298"/>
      <c r="FH191" s="298"/>
      <c r="FI191" s="298" t="s">
        <v>890</v>
      </c>
      <c r="FJ191" s="298" t="s">
        <v>890</v>
      </c>
      <c r="FK191" s="298" t="s">
        <v>890</v>
      </c>
      <c r="FL191" s="298"/>
      <c r="FM191" s="298" t="s">
        <v>890</v>
      </c>
      <c r="FN191" s="298"/>
      <c r="FO191" s="296"/>
      <c r="FP191" s="298"/>
      <c r="FQ191" s="298" t="s">
        <v>890</v>
      </c>
      <c r="FR191" s="298" t="s">
        <v>890</v>
      </c>
      <c r="FS191" s="298"/>
      <c r="FT191" s="298"/>
      <c r="FU191" s="298" t="s">
        <v>890</v>
      </c>
      <c r="FV191" s="298"/>
      <c r="FW191" s="298"/>
      <c r="FX191" s="298"/>
      <c r="FY191" s="298"/>
      <c r="FZ191" s="296"/>
      <c r="GA191" s="301"/>
      <c r="GB191" s="240"/>
      <c r="GC191" s="296"/>
      <c r="GD191" s="240"/>
      <c r="GE191" s="240"/>
      <c r="GF191" s="240"/>
      <c r="GG191" s="240"/>
      <c r="GH191" s="296"/>
      <c r="GI191" s="240"/>
      <c r="GJ191" s="240"/>
      <c r="GK191" s="240"/>
      <c r="GL191" s="240"/>
      <c r="GM191" s="296"/>
      <c r="GN191" s="240"/>
      <c r="GO191" s="240"/>
      <c r="GP191" s="240"/>
      <c r="GQ191" s="240"/>
      <c r="GR191" s="240"/>
      <c r="GS191" s="240"/>
      <c r="GT191" s="240"/>
      <c r="GU191" s="240"/>
      <c r="GV191" s="240"/>
      <c r="GW191" s="240"/>
      <c r="GX191" s="240"/>
      <c r="GY191" s="240"/>
      <c r="GZ191" s="240"/>
      <c r="HA191" s="240"/>
      <c r="HB191" s="240"/>
      <c r="HC191" s="240"/>
      <c r="HD191" s="296"/>
      <c r="HE191" s="240"/>
      <c r="HF191" s="240"/>
      <c r="HG191" s="240"/>
      <c r="HH191" s="240"/>
      <c r="HI191" s="240"/>
      <c r="HJ191" s="296"/>
      <c r="HK191" s="240"/>
      <c r="HL191" s="296"/>
      <c r="HM191" s="241"/>
      <c r="HN191" s="235"/>
      <c r="HO191" s="235"/>
    </row>
    <row r="192" spans="2:225" ht="37.5" hidden="1" outlineLevel="1">
      <c r="B192" s="303" t="s">
        <v>845</v>
      </c>
      <c r="C192" s="252" t="str">
        <f>IF(OR(E191='3. Dropdowns'!C198,E191='3. Dropdowns'!C199,E191='3. Dropdowns'!C202),"Hide",IF(OR('1. Criteria &amp; Spec Matrix'!D5='3. Dropdowns'!C8,'1. Criteria &amp; Spec Matrix'!D5='3. Dropdowns'!C9),"Hide","Show"))</f>
        <v>Show</v>
      </c>
      <c r="D192" s="236" t="s">
        <v>3280</v>
      </c>
      <c r="E192" s="248"/>
      <c r="F192" s="284" t="s">
        <v>539</v>
      </c>
      <c r="G192" s="268"/>
      <c r="H192" s="296"/>
      <c r="I192" s="302"/>
      <c r="J192" s="299" t="s">
        <v>890</v>
      </c>
      <c r="K192" s="299"/>
      <c r="L192" s="299"/>
      <c r="M192" s="299"/>
      <c r="N192" s="299"/>
      <c r="O192" s="299"/>
      <c r="P192" s="299"/>
      <c r="Q192" s="299"/>
      <c r="R192" s="299"/>
      <c r="S192" s="299"/>
      <c r="T192" s="240" t="s">
        <v>890</v>
      </c>
      <c r="U192" s="298"/>
      <c r="V192" s="298"/>
      <c r="W192" s="298"/>
      <c r="X192" s="296"/>
      <c r="Y192" s="298"/>
      <c r="Z192" s="298"/>
      <c r="AA192" s="298"/>
      <c r="AB192" s="298"/>
      <c r="AC192" s="298"/>
      <c r="AD192" s="298"/>
      <c r="AE192" s="298"/>
      <c r="AF192" s="298"/>
      <c r="AG192" s="298"/>
      <c r="AH192" s="296"/>
      <c r="AI192" s="298"/>
      <c r="AJ192" s="298"/>
      <c r="AK192" s="298"/>
      <c r="AL192" s="298"/>
      <c r="AM192" s="296"/>
      <c r="AN192" s="298"/>
      <c r="AO192" s="298"/>
      <c r="AP192" s="298"/>
      <c r="AQ192" s="296"/>
      <c r="AR192" s="298"/>
      <c r="AS192" s="298"/>
      <c r="AT192" s="298"/>
      <c r="AU192" s="298"/>
      <c r="AV192" s="298"/>
      <c r="AW192" s="298"/>
      <c r="AX192" s="298"/>
      <c r="AY192" s="298"/>
      <c r="AZ192" s="296"/>
      <c r="BA192" s="298"/>
      <c r="BB192" s="298"/>
      <c r="BC192" s="298"/>
      <c r="BD192" s="298"/>
      <c r="BE192" s="298"/>
      <c r="BF192" s="298"/>
      <c r="BG192" s="298"/>
      <c r="BH192" s="298"/>
      <c r="BI192" s="298"/>
      <c r="BJ192" s="298"/>
      <c r="BK192" s="298"/>
      <c r="BL192" s="298"/>
      <c r="BM192" s="298"/>
      <c r="BN192" s="298"/>
      <c r="BO192" s="298"/>
      <c r="BP192" s="296"/>
      <c r="BQ192" s="298"/>
      <c r="BR192" s="298"/>
      <c r="BS192" s="298"/>
      <c r="BT192" s="298"/>
      <c r="BU192" s="298"/>
      <c r="BV192" s="298"/>
      <c r="BW192" s="298"/>
      <c r="BX192" s="298"/>
      <c r="BY192" s="298"/>
      <c r="BZ192" s="298"/>
      <c r="CA192" s="298"/>
      <c r="CB192" s="298"/>
      <c r="CC192" s="298"/>
      <c r="CD192" s="298"/>
      <c r="CE192" s="298"/>
      <c r="CF192" s="296"/>
      <c r="CG192" s="298"/>
      <c r="CH192" s="298"/>
      <c r="CI192" s="298"/>
      <c r="CJ192" s="298"/>
      <c r="CK192" s="298"/>
      <c r="CL192" s="298"/>
      <c r="CM192" s="298"/>
      <c r="CN192" s="298"/>
      <c r="CO192" s="298"/>
      <c r="CP192" s="298"/>
      <c r="CQ192" s="298"/>
      <c r="CR192" s="298"/>
      <c r="CS192" s="296"/>
      <c r="CT192" s="298"/>
      <c r="CU192" s="298"/>
      <c r="CV192" s="298"/>
      <c r="CW192" s="298"/>
      <c r="CX192" s="298"/>
      <c r="CY192" s="298"/>
      <c r="CZ192" s="298"/>
      <c r="DA192" s="298"/>
      <c r="DB192" s="298"/>
      <c r="DC192" s="298"/>
      <c r="DD192" s="298"/>
      <c r="DE192" s="298"/>
      <c r="DF192" s="296"/>
      <c r="DG192" s="298"/>
      <c r="DH192" s="298"/>
      <c r="DI192" s="298"/>
      <c r="DJ192" s="298"/>
      <c r="DK192" s="298"/>
      <c r="DL192" s="298"/>
      <c r="DM192" s="298"/>
      <c r="DN192" s="298"/>
      <c r="DO192" s="298"/>
      <c r="DP192" s="298"/>
      <c r="DQ192" s="298"/>
      <c r="DR192" s="296"/>
      <c r="DS192" s="298"/>
      <c r="DT192" s="298"/>
      <c r="DU192" s="298"/>
      <c r="DV192" s="296"/>
      <c r="DW192" s="298"/>
      <c r="DX192" s="298"/>
      <c r="DY192" s="298"/>
      <c r="DZ192" s="298"/>
      <c r="EA192" s="298"/>
      <c r="EB192" s="298"/>
      <c r="EC192" s="298"/>
      <c r="ED192" s="298"/>
      <c r="EE192" s="298"/>
      <c r="EF192" s="296"/>
      <c r="EG192" s="298"/>
      <c r="EH192" s="298"/>
      <c r="EI192" s="298"/>
      <c r="EJ192" s="296"/>
      <c r="EK192" s="298"/>
      <c r="EL192" s="296"/>
      <c r="EM192" s="298"/>
      <c r="EN192" s="298"/>
      <c r="EO192" s="298"/>
      <c r="EP192" s="298"/>
      <c r="EQ192" s="298"/>
      <c r="ER192" s="298" t="s">
        <v>890</v>
      </c>
      <c r="ES192" s="298"/>
      <c r="ET192" s="298"/>
      <c r="EU192" s="298" t="s">
        <v>890</v>
      </c>
      <c r="EV192" s="298"/>
      <c r="EW192" s="298"/>
      <c r="EX192" s="296"/>
      <c r="EY192" s="298"/>
      <c r="EZ192" s="298"/>
      <c r="FA192" s="298"/>
      <c r="FB192" s="298"/>
      <c r="FC192" s="298"/>
      <c r="FD192" s="298"/>
      <c r="FE192" s="298"/>
      <c r="FF192" s="298"/>
      <c r="FG192" s="298"/>
      <c r="FH192" s="298"/>
      <c r="FI192" s="298"/>
      <c r="FJ192" s="298"/>
      <c r="FK192" s="298"/>
      <c r="FL192" s="298"/>
      <c r="FM192" s="298"/>
      <c r="FN192" s="298"/>
      <c r="FO192" s="296"/>
      <c r="FP192" s="298"/>
      <c r="FQ192" s="298" t="s">
        <v>890</v>
      </c>
      <c r="FR192" s="298" t="s">
        <v>890</v>
      </c>
      <c r="FS192" s="298"/>
      <c r="FT192" s="298"/>
      <c r="FU192" s="298" t="s">
        <v>890</v>
      </c>
      <c r="FV192" s="298"/>
      <c r="FW192" s="298"/>
      <c r="FX192" s="298"/>
      <c r="FY192" s="298"/>
      <c r="FZ192" s="296"/>
      <c r="GA192" s="301"/>
      <c r="GB192" s="240"/>
      <c r="GC192" s="296"/>
      <c r="GD192" s="240"/>
      <c r="GE192" s="240"/>
      <c r="GF192" s="240"/>
      <c r="GG192" s="240"/>
      <c r="GH192" s="296"/>
      <c r="GI192" s="240"/>
      <c r="GJ192" s="240"/>
      <c r="GK192" s="240"/>
      <c r="GL192" s="240"/>
      <c r="GM192" s="296"/>
      <c r="GN192" s="240"/>
      <c r="GO192" s="240"/>
      <c r="GP192" s="240"/>
      <c r="GQ192" s="240"/>
      <c r="GR192" s="240"/>
      <c r="GS192" s="240"/>
      <c r="GT192" s="240"/>
      <c r="GU192" s="240"/>
      <c r="GV192" s="240"/>
      <c r="GW192" s="240"/>
      <c r="GX192" s="240"/>
      <c r="GY192" s="240"/>
      <c r="GZ192" s="240"/>
      <c r="HA192" s="240"/>
      <c r="HB192" s="240"/>
      <c r="HC192" s="240"/>
      <c r="HD192" s="296"/>
      <c r="HE192" s="240"/>
      <c r="HF192" s="240"/>
      <c r="HG192" s="240"/>
      <c r="HH192" s="240"/>
      <c r="HI192" s="240"/>
      <c r="HJ192" s="296"/>
      <c r="HK192" s="240"/>
      <c r="HL192" s="296"/>
      <c r="HM192" s="241"/>
      <c r="HN192" s="235"/>
      <c r="HO192" s="235"/>
    </row>
    <row r="193" spans="2:225" ht="37.5" hidden="1" outlineLevel="1">
      <c r="B193" s="303" t="s">
        <v>502</v>
      </c>
      <c r="C193" s="252" t="str">
        <f>IF(D5='3. Dropdowns'!C7,"Hide","Show")</f>
        <v>Show</v>
      </c>
      <c r="D193" s="236" t="s">
        <v>3281</v>
      </c>
      <c r="E193" s="248"/>
      <c r="F193" s="305" t="str">
        <f>IF(E193='3. Dropdowns'!C205,"","Submittals, Products, Execution")</f>
        <v>Submittals, Products, Execution</v>
      </c>
      <c r="G193" s="268"/>
      <c r="H193" s="296"/>
      <c r="I193" s="302"/>
      <c r="J193" s="299" t="s">
        <v>890</v>
      </c>
      <c r="K193" s="299"/>
      <c r="L193" s="299"/>
      <c r="M193" s="299"/>
      <c r="N193" s="299"/>
      <c r="O193" s="299"/>
      <c r="P193" s="299"/>
      <c r="Q193" s="299"/>
      <c r="R193" s="299"/>
      <c r="S193" s="299"/>
      <c r="T193" s="240" t="s">
        <v>890</v>
      </c>
      <c r="U193" s="298"/>
      <c r="V193" s="298"/>
      <c r="W193" s="298"/>
      <c r="X193" s="296"/>
      <c r="Y193" s="298"/>
      <c r="Z193" s="298"/>
      <c r="AA193" s="298"/>
      <c r="AB193" s="298"/>
      <c r="AC193" s="298"/>
      <c r="AD193" s="298"/>
      <c r="AE193" s="298"/>
      <c r="AF193" s="298"/>
      <c r="AG193" s="298"/>
      <c r="AH193" s="296"/>
      <c r="AI193" s="298"/>
      <c r="AJ193" s="298"/>
      <c r="AK193" s="298"/>
      <c r="AL193" s="298"/>
      <c r="AM193" s="296"/>
      <c r="AN193" s="298"/>
      <c r="AO193" s="298"/>
      <c r="AP193" s="298"/>
      <c r="AQ193" s="296"/>
      <c r="AR193" s="298"/>
      <c r="AS193" s="298"/>
      <c r="AT193" s="298"/>
      <c r="AU193" s="298"/>
      <c r="AV193" s="298"/>
      <c r="AW193" s="298"/>
      <c r="AX193" s="298"/>
      <c r="AY193" s="298"/>
      <c r="AZ193" s="296"/>
      <c r="BA193" s="298"/>
      <c r="BB193" s="298"/>
      <c r="BC193" s="298"/>
      <c r="BD193" s="298"/>
      <c r="BE193" s="298"/>
      <c r="BF193" s="298"/>
      <c r="BG193" s="298"/>
      <c r="BH193" s="298"/>
      <c r="BI193" s="298"/>
      <c r="BJ193" s="298"/>
      <c r="BK193" s="298"/>
      <c r="BL193" s="298"/>
      <c r="BM193" s="298"/>
      <c r="BN193" s="298"/>
      <c r="BO193" s="298"/>
      <c r="BP193" s="296"/>
      <c r="BQ193" s="298"/>
      <c r="BR193" s="298"/>
      <c r="BS193" s="298"/>
      <c r="BT193" s="298"/>
      <c r="BU193" s="298"/>
      <c r="BV193" s="298"/>
      <c r="BW193" s="298"/>
      <c r="BX193" s="298"/>
      <c r="BY193" s="298"/>
      <c r="BZ193" s="298"/>
      <c r="CA193" s="298"/>
      <c r="CB193" s="298"/>
      <c r="CC193" s="298"/>
      <c r="CD193" s="298"/>
      <c r="CE193" s="298"/>
      <c r="CF193" s="296"/>
      <c r="CG193" s="298"/>
      <c r="CH193" s="298"/>
      <c r="CI193" s="298"/>
      <c r="CJ193" s="298"/>
      <c r="CK193" s="298"/>
      <c r="CL193" s="298"/>
      <c r="CM193" s="298"/>
      <c r="CN193" s="298"/>
      <c r="CO193" s="298"/>
      <c r="CP193" s="298"/>
      <c r="CQ193" s="298"/>
      <c r="CR193" s="298"/>
      <c r="CS193" s="296"/>
      <c r="CT193" s="298"/>
      <c r="CU193" s="298"/>
      <c r="CV193" s="298"/>
      <c r="CW193" s="298"/>
      <c r="CX193" s="298"/>
      <c r="CY193" s="298"/>
      <c r="CZ193" s="298"/>
      <c r="DA193" s="298"/>
      <c r="DB193" s="298"/>
      <c r="DC193" s="298"/>
      <c r="DD193" s="298"/>
      <c r="DE193" s="298"/>
      <c r="DF193" s="296"/>
      <c r="DG193" s="298"/>
      <c r="DH193" s="298"/>
      <c r="DI193" s="298"/>
      <c r="DJ193" s="298"/>
      <c r="DK193" s="298"/>
      <c r="DL193" s="298"/>
      <c r="DM193" s="298"/>
      <c r="DN193" s="298"/>
      <c r="DO193" s="298"/>
      <c r="DP193" s="298"/>
      <c r="DQ193" s="298"/>
      <c r="DR193" s="296"/>
      <c r="DS193" s="298" t="s">
        <v>890</v>
      </c>
      <c r="DT193" s="298" t="s">
        <v>890</v>
      </c>
      <c r="DU193" s="298"/>
      <c r="DV193" s="296"/>
      <c r="DW193" s="298"/>
      <c r="DX193" s="298"/>
      <c r="DY193" s="298"/>
      <c r="DZ193" s="298"/>
      <c r="EA193" s="298"/>
      <c r="EB193" s="298"/>
      <c r="EC193" s="298"/>
      <c r="ED193" s="298"/>
      <c r="EE193" s="298"/>
      <c r="EF193" s="296"/>
      <c r="EG193" s="298"/>
      <c r="EH193" s="298"/>
      <c r="EI193" s="298"/>
      <c r="EJ193" s="296"/>
      <c r="EK193" s="298"/>
      <c r="EL193" s="296"/>
      <c r="EM193" s="298"/>
      <c r="EN193" s="298"/>
      <c r="EO193" s="298"/>
      <c r="EP193" s="298"/>
      <c r="EQ193" s="298"/>
      <c r="ER193" s="298" t="s">
        <v>890</v>
      </c>
      <c r="ES193" s="298"/>
      <c r="ET193" s="298"/>
      <c r="EU193" s="298" t="s">
        <v>890</v>
      </c>
      <c r="EV193" s="298"/>
      <c r="EW193" s="298"/>
      <c r="EX193" s="296"/>
      <c r="EY193" s="298"/>
      <c r="EZ193" s="298"/>
      <c r="FA193" s="298"/>
      <c r="FB193" s="298"/>
      <c r="FC193" s="298"/>
      <c r="FD193" s="298"/>
      <c r="FE193" s="298"/>
      <c r="FF193" s="298"/>
      <c r="FG193" s="298"/>
      <c r="FH193" s="298"/>
      <c r="FI193" s="298" t="s">
        <v>890</v>
      </c>
      <c r="FJ193" s="298" t="s">
        <v>890</v>
      </c>
      <c r="FK193" s="298" t="s">
        <v>890</v>
      </c>
      <c r="FL193" s="298"/>
      <c r="FM193" s="298" t="s">
        <v>890</v>
      </c>
      <c r="FN193" s="298"/>
      <c r="FO193" s="296"/>
      <c r="FP193" s="298"/>
      <c r="FQ193" s="298" t="s">
        <v>890</v>
      </c>
      <c r="FR193" s="298" t="s">
        <v>890</v>
      </c>
      <c r="FS193" s="298"/>
      <c r="FT193" s="298"/>
      <c r="FU193" s="298" t="s">
        <v>890</v>
      </c>
      <c r="FV193" s="298"/>
      <c r="FW193" s="298"/>
      <c r="FX193" s="298"/>
      <c r="FY193" s="298"/>
      <c r="FZ193" s="296"/>
      <c r="GA193" s="301"/>
      <c r="GB193" s="240"/>
      <c r="GC193" s="296"/>
      <c r="GD193" s="240"/>
      <c r="GE193" s="240"/>
      <c r="GF193" s="240"/>
      <c r="GG193" s="240"/>
      <c r="GH193" s="296"/>
      <c r="GI193" s="240"/>
      <c r="GJ193" s="240"/>
      <c r="GK193" s="240"/>
      <c r="GL193" s="240"/>
      <c r="GM193" s="296"/>
      <c r="GN193" s="240"/>
      <c r="GO193" s="240"/>
      <c r="GP193" s="240"/>
      <c r="GQ193" s="240"/>
      <c r="GR193" s="240"/>
      <c r="GS193" s="240"/>
      <c r="GT193" s="240"/>
      <c r="GU193" s="240"/>
      <c r="GV193" s="240"/>
      <c r="GW193" s="240"/>
      <c r="GX193" s="240"/>
      <c r="GY193" s="240"/>
      <c r="GZ193" s="240"/>
      <c r="HA193" s="240"/>
      <c r="HB193" s="240"/>
      <c r="HC193" s="240"/>
      <c r="HD193" s="296"/>
      <c r="HE193" s="240"/>
      <c r="HF193" s="240"/>
      <c r="HG193" s="240"/>
      <c r="HH193" s="240"/>
      <c r="HI193" s="240"/>
      <c r="HJ193" s="296"/>
      <c r="HK193" s="240"/>
      <c r="HL193" s="296"/>
      <c r="HM193" s="241"/>
      <c r="HN193" s="235"/>
      <c r="HO193" s="235"/>
    </row>
    <row r="194" spans="2:225" ht="37.5" hidden="1" outlineLevel="1">
      <c r="B194" s="303" t="s">
        <v>860</v>
      </c>
      <c r="C194" s="252" t="str">
        <f>IF(OR(E193='3. Dropdowns'!C205,E193='3. Dropdowns'!C207),"Hide",IF(D5='3. Dropdowns'!C7,"Hide","Show"))</f>
        <v>Show</v>
      </c>
      <c r="D194" s="306" t="s">
        <v>3282</v>
      </c>
      <c r="E194" s="307"/>
      <c r="F194" s="284" t="s">
        <v>540</v>
      </c>
      <c r="G194" s="268"/>
      <c r="H194" s="296"/>
      <c r="I194" s="302"/>
      <c r="J194" s="299" t="s">
        <v>890</v>
      </c>
      <c r="K194" s="299"/>
      <c r="L194" s="299"/>
      <c r="M194" s="299"/>
      <c r="N194" s="299"/>
      <c r="O194" s="299"/>
      <c r="P194" s="299"/>
      <c r="Q194" s="299"/>
      <c r="R194" s="299"/>
      <c r="S194" s="299"/>
      <c r="T194" s="240" t="s">
        <v>890</v>
      </c>
      <c r="U194" s="298"/>
      <c r="V194" s="298"/>
      <c r="W194" s="298"/>
      <c r="X194" s="296"/>
      <c r="Y194" s="298"/>
      <c r="Z194" s="298"/>
      <c r="AA194" s="298"/>
      <c r="AB194" s="298"/>
      <c r="AC194" s="298"/>
      <c r="AD194" s="298"/>
      <c r="AE194" s="298"/>
      <c r="AF194" s="298"/>
      <c r="AG194" s="298"/>
      <c r="AH194" s="296"/>
      <c r="AI194" s="298"/>
      <c r="AJ194" s="298"/>
      <c r="AK194" s="298"/>
      <c r="AL194" s="298"/>
      <c r="AM194" s="296"/>
      <c r="AN194" s="298"/>
      <c r="AO194" s="298"/>
      <c r="AP194" s="298"/>
      <c r="AQ194" s="296"/>
      <c r="AR194" s="298"/>
      <c r="AS194" s="298"/>
      <c r="AT194" s="298"/>
      <c r="AU194" s="298"/>
      <c r="AV194" s="298"/>
      <c r="AW194" s="298"/>
      <c r="AX194" s="298"/>
      <c r="AY194" s="298"/>
      <c r="AZ194" s="296"/>
      <c r="BA194" s="298"/>
      <c r="BB194" s="298"/>
      <c r="BC194" s="298"/>
      <c r="BD194" s="298"/>
      <c r="BE194" s="298"/>
      <c r="BF194" s="298"/>
      <c r="BG194" s="298"/>
      <c r="BH194" s="298"/>
      <c r="BI194" s="298"/>
      <c r="BJ194" s="298"/>
      <c r="BK194" s="298"/>
      <c r="BL194" s="298"/>
      <c r="BM194" s="298"/>
      <c r="BN194" s="298"/>
      <c r="BO194" s="298"/>
      <c r="BP194" s="296"/>
      <c r="BQ194" s="298"/>
      <c r="BR194" s="298"/>
      <c r="BS194" s="298"/>
      <c r="BT194" s="298"/>
      <c r="BU194" s="298"/>
      <c r="BV194" s="298"/>
      <c r="BW194" s="298"/>
      <c r="BX194" s="298"/>
      <c r="BY194" s="298"/>
      <c r="BZ194" s="298"/>
      <c r="CA194" s="298"/>
      <c r="CB194" s="298"/>
      <c r="CC194" s="298"/>
      <c r="CD194" s="298"/>
      <c r="CE194" s="298"/>
      <c r="CF194" s="296"/>
      <c r="CG194" s="298"/>
      <c r="CH194" s="298"/>
      <c r="CI194" s="298"/>
      <c r="CJ194" s="298"/>
      <c r="CK194" s="298"/>
      <c r="CL194" s="298"/>
      <c r="CM194" s="298"/>
      <c r="CN194" s="298"/>
      <c r="CO194" s="298"/>
      <c r="CP194" s="298"/>
      <c r="CQ194" s="298"/>
      <c r="CR194" s="298"/>
      <c r="CS194" s="296"/>
      <c r="CT194" s="298"/>
      <c r="CU194" s="298"/>
      <c r="CV194" s="298"/>
      <c r="CW194" s="298"/>
      <c r="CX194" s="298"/>
      <c r="CY194" s="298"/>
      <c r="CZ194" s="298"/>
      <c r="DA194" s="298"/>
      <c r="DB194" s="298"/>
      <c r="DC194" s="298"/>
      <c r="DD194" s="298"/>
      <c r="DE194" s="298"/>
      <c r="DF194" s="296"/>
      <c r="DG194" s="298"/>
      <c r="DH194" s="298"/>
      <c r="DI194" s="298"/>
      <c r="DJ194" s="298"/>
      <c r="DK194" s="298"/>
      <c r="DL194" s="298"/>
      <c r="DM194" s="298"/>
      <c r="DN194" s="298"/>
      <c r="DO194" s="298"/>
      <c r="DP194" s="298"/>
      <c r="DQ194" s="298"/>
      <c r="DR194" s="296"/>
      <c r="DS194" s="298"/>
      <c r="DT194" s="298"/>
      <c r="DU194" s="298"/>
      <c r="DV194" s="296"/>
      <c r="DW194" s="298"/>
      <c r="DX194" s="298"/>
      <c r="DY194" s="298"/>
      <c r="DZ194" s="298"/>
      <c r="EA194" s="298"/>
      <c r="EB194" s="298"/>
      <c r="EC194" s="298"/>
      <c r="ED194" s="298"/>
      <c r="EE194" s="298"/>
      <c r="EF194" s="296"/>
      <c r="EG194" s="298"/>
      <c r="EH194" s="298"/>
      <c r="EI194" s="298"/>
      <c r="EJ194" s="296"/>
      <c r="EK194" s="298"/>
      <c r="EL194" s="296"/>
      <c r="EM194" s="298"/>
      <c r="EN194" s="298"/>
      <c r="EO194" s="298"/>
      <c r="EP194" s="298"/>
      <c r="EQ194" s="298"/>
      <c r="ER194" s="298" t="s">
        <v>890</v>
      </c>
      <c r="ES194" s="298"/>
      <c r="ET194" s="298"/>
      <c r="EU194" s="298"/>
      <c r="EV194" s="298"/>
      <c r="EW194" s="298"/>
      <c r="EX194" s="296"/>
      <c r="EY194" s="298"/>
      <c r="EZ194" s="298"/>
      <c r="FA194" s="298"/>
      <c r="FB194" s="298"/>
      <c r="FC194" s="298"/>
      <c r="FD194" s="298"/>
      <c r="FE194" s="298"/>
      <c r="FF194" s="298"/>
      <c r="FG194" s="298"/>
      <c r="FH194" s="298"/>
      <c r="FI194" s="298" t="s">
        <v>890</v>
      </c>
      <c r="FJ194" s="298" t="s">
        <v>890</v>
      </c>
      <c r="FK194" s="298" t="s">
        <v>890</v>
      </c>
      <c r="FL194" s="298"/>
      <c r="FM194" s="298" t="s">
        <v>890</v>
      </c>
      <c r="FN194" s="298"/>
      <c r="FO194" s="296"/>
      <c r="FP194" s="298"/>
      <c r="FQ194" s="298" t="s">
        <v>890</v>
      </c>
      <c r="FR194" s="298" t="s">
        <v>890</v>
      </c>
      <c r="FS194" s="298"/>
      <c r="FT194" s="298"/>
      <c r="FU194" s="298" t="s">
        <v>890</v>
      </c>
      <c r="FV194" s="298"/>
      <c r="FW194" s="298"/>
      <c r="FX194" s="298"/>
      <c r="FY194" s="298"/>
      <c r="FZ194" s="296"/>
      <c r="GA194" s="301"/>
      <c r="GB194" s="240"/>
      <c r="GC194" s="296"/>
      <c r="GD194" s="240"/>
      <c r="GE194" s="240"/>
      <c r="GF194" s="240"/>
      <c r="GG194" s="240"/>
      <c r="GH194" s="296"/>
      <c r="GI194" s="240"/>
      <c r="GJ194" s="240"/>
      <c r="GK194" s="240"/>
      <c r="GL194" s="240"/>
      <c r="GM194" s="296"/>
      <c r="GN194" s="240"/>
      <c r="GO194" s="240"/>
      <c r="GP194" s="240"/>
      <c r="GQ194" s="240"/>
      <c r="GR194" s="240"/>
      <c r="GS194" s="240"/>
      <c r="GT194" s="240"/>
      <c r="GU194" s="240"/>
      <c r="GV194" s="240"/>
      <c r="GW194" s="240"/>
      <c r="GX194" s="240"/>
      <c r="GY194" s="240"/>
      <c r="GZ194" s="240"/>
      <c r="HA194" s="240"/>
      <c r="HB194" s="240"/>
      <c r="HC194" s="240"/>
      <c r="HD194" s="296"/>
      <c r="HE194" s="240"/>
      <c r="HF194" s="240"/>
      <c r="HG194" s="240"/>
      <c r="HH194" s="240"/>
      <c r="HI194" s="240"/>
      <c r="HJ194" s="296"/>
      <c r="HK194" s="240"/>
      <c r="HL194" s="296"/>
      <c r="HM194" s="241"/>
      <c r="HN194" s="235"/>
      <c r="HO194" s="235"/>
    </row>
    <row r="195" spans="2:225" ht="37.5" hidden="1" outlineLevel="1">
      <c r="B195" s="303" t="s">
        <v>861</v>
      </c>
      <c r="C195" s="252" t="str">
        <f>IF(E194='3. Dropdowns'!C209,"Hide",IF(OR(E193='3. Dropdowns'!C205,E193='3. Dropdowns'!C207),"Hide",IF(D5='3. Dropdowns'!C7,"Hide","Show")))</f>
        <v>Show</v>
      </c>
      <c r="D195" s="306" t="s">
        <v>3283</v>
      </c>
      <c r="E195" s="248"/>
      <c r="F195" s="284" t="s">
        <v>539</v>
      </c>
      <c r="G195" s="268"/>
      <c r="H195" s="296"/>
      <c r="I195" s="302"/>
      <c r="J195" s="299" t="s">
        <v>890</v>
      </c>
      <c r="K195" s="299"/>
      <c r="L195" s="299"/>
      <c r="M195" s="299"/>
      <c r="N195" s="299"/>
      <c r="O195" s="299"/>
      <c r="P195" s="299"/>
      <c r="Q195" s="299"/>
      <c r="R195" s="299"/>
      <c r="S195" s="299"/>
      <c r="T195" s="240" t="s">
        <v>890</v>
      </c>
      <c r="U195" s="298"/>
      <c r="V195" s="298"/>
      <c r="W195" s="298"/>
      <c r="X195" s="296"/>
      <c r="Y195" s="298"/>
      <c r="Z195" s="298"/>
      <c r="AA195" s="298"/>
      <c r="AB195" s="298"/>
      <c r="AC195" s="298"/>
      <c r="AD195" s="298"/>
      <c r="AE195" s="298"/>
      <c r="AF195" s="298"/>
      <c r="AG195" s="298"/>
      <c r="AH195" s="296"/>
      <c r="AI195" s="298"/>
      <c r="AJ195" s="298"/>
      <c r="AK195" s="298"/>
      <c r="AL195" s="298"/>
      <c r="AM195" s="296"/>
      <c r="AN195" s="298"/>
      <c r="AO195" s="298"/>
      <c r="AP195" s="298"/>
      <c r="AQ195" s="296"/>
      <c r="AR195" s="298"/>
      <c r="AS195" s="298"/>
      <c r="AT195" s="298"/>
      <c r="AU195" s="298"/>
      <c r="AV195" s="298"/>
      <c r="AW195" s="298"/>
      <c r="AX195" s="298"/>
      <c r="AY195" s="298"/>
      <c r="AZ195" s="296"/>
      <c r="BA195" s="298"/>
      <c r="BB195" s="298"/>
      <c r="BC195" s="298"/>
      <c r="BD195" s="298"/>
      <c r="BE195" s="298"/>
      <c r="BF195" s="298"/>
      <c r="BG195" s="298"/>
      <c r="BH195" s="298"/>
      <c r="BI195" s="298"/>
      <c r="BJ195" s="298"/>
      <c r="BK195" s="298"/>
      <c r="BL195" s="298"/>
      <c r="BM195" s="298"/>
      <c r="BN195" s="298"/>
      <c r="BO195" s="298"/>
      <c r="BP195" s="296"/>
      <c r="BQ195" s="298"/>
      <c r="BR195" s="298"/>
      <c r="BS195" s="298"/>
      <c r="BT195" s="298"/>
      <c r="BU195" s="298"/>
      <c r="BV195" s="298"/>
      <c r="BW195" s="298"/>
      <c r="BX195" s="298"/>
      <c r="BY195" s="298"/>
      <c r="BZ195" s="298"/>
      <c r="CA195" s="298"/>
      <c r="CB195" s="298"/>
      <c r="CC195" s="298"/>
      <c r="CD195" s="298"/>
      <c r="CE195" s="298"/>
      <c r="CF195" s="296"/>
      <c r="CG195" s="298"/>
      <c r="CH195" s="298"/>
      <c r="CI195" s="298"/>
      <c r="CJ195" s="298"/>
      <c r="CK195" s="298"/>
      <c r="CL195" s="298"/>
      <c r="CM195" s="298"/>
      <c r="CN195" s="298"/>
      <c r="CO195" s="298"/>
      <c r="CP195" s="298"/>
      <c r="CQ195" s="298"/>
      <c r="CR195" s="298"/>
      <c r="CS195" s="296"/>
      <c r="CT195" s="298"/>
      <c r="CU195" s="298"/>
      <c r="CV195" s="298"/>
      <c r="CW195" s="298"/>
      <c r="CX195" s="298"/>
      <c r="CY195" s="298"/>
      <c r="CZ195" s="298"/>
      <c r="DA195" s="298"/>
      <c r="DB195" s="298"/>
      <c r="DC195" s="298"/>
      <c r="DD195" s="298"/>
      <c r="DE195" s="298"/>
      <c r="DF195" s="296"/>
      <c r="DG195" s="298"/>
      <c r="DH195" s="298"/>
      <c r="DI195" s="298"/>
      <c r="DJ195" s="298"/>
      <c r="DK195" s="298"/>
      <c r="DL195" s="298"/>
      <c r="DM195" s="298"/>
      <c r="DN195" s="298"/>
      <c r="DO195" s="298"/>
      <c r="DP195" s="298"/>
      <c r="DQ195" s="298"/>
      <c r="DR195" s="296"/>
      <c r="DS195" s="298"/>
      <c r="DT195" s="298"/>
      <c r="DU195" s="298"/>
      <c r="DV195" s="296"/>
      <c r="DW195" s="298"/>
      <c r="DX195" s="298"/>
      <c r="DY195" s="298"/>
      <c r="DZ195" s="298"/>
      <c r="EA195" s="298"/>
      <c r="EB195" s="298"/>
      <c r="EC195" s="298"/>
      <c r="ED195" s="298"/>
      <c r="EE195" s="298"/>
      <c r="EF195" s="296"/>
      <c r="EG195" s="298"/>
      <c r="EH195" s="298"/>
      <c r="EI195" s="298"/>
      <c r="EJ195" s="296"/>
      <c r="EK195" s="298"/>
      <c r="EL195" s="296"/>
      <c r="EM195" s="298"/>
      <c r="EN195" s="298"/>
      <c r="EO195" s="298"/>
      <c r="EP195" s="298"/>
      <c r="EQ195" s="298"/>
      <c r="ER195" s="298" t="s">
        <v>890</v>
      </c>
      <c r="ES195" s="298"/>
      <c r="ET195" s="298"/>
      <c r="EU195" s="298" t="s">
        <v>890</v>
      </c>
      <c r="EV195" s="298"/>
      <c r="EW195" s="298"/>
      <c r="EX195" s="296"/>
      <c r="EY195" s="298"/>
      <c r="EZ195" s="298"/>
      <c r="FA195" s="298"/>
      <c r="FB195" s="298"/>
      <c r="FC195" s="298"/>
      <c r="FD195" s="298"/>
      <c r="FE195" s="298"/>
      <c r="FF195" s="298"/>
      <c r="FG195" s="298"/>
      <c r="FH195" s="298"/>
      <c r="FI195" s="298"/>
      <c r="FJ195" s="298"/>
      <c r="FK195" s="298"/>
      <c r="FL195" s="298"/>
      <c r="FM195" s="298"/>
      <c r="FN195" s="298"/>
      <c r="FO195" s="296"/>
      <c r="FP195" s="298"/>
      <c r="FQ195" s="298" t="s">
        <v>890</v>
      </c>
      <c r="FR195" s="298" t="s">
        <v>890</v>
      </c>
      <c r="FS195" s="298"/>
      <c r="FT195" s="298"/>
      <c r="FU195" s="298" t="s">
        <v>890</v>
      </c>
      <c r="FV195" s="298"/>
      <c r="FW195" s="298"/>
      <c r="FX195" s="298"/>
      <c r="FY195" s="298"/>
      <c r="FZ195" s="296"/>
      <c r="GA195" s="301"/>
      <c r="GB195" s="240"/>
      <c r="GC195" s="296"/>
      <c r="GD195" s="240"/>
      <c r="GE195" s="240"/>
      <c r="GF195" s="240"/>
      <c r="GG195" s="240"/>
      <c r="GH195" s="296"/>
      <c r="GI195" s="240"/>
      <c r="GJ195" s="240"/>
      <c r="GK195" s="240"/>
      <c r="GL195" s="240"/>
      <c r="GM195" s="296"/>
      <c r="GN195" s="240"/>
      <c r="GO195" s="240"/>
      <c r="GP195" s="240"/>
      <c r="GQ195" s="240"/>
      <c r="GR195" s="240"/>
      <c r="GS195" s="240"/>
      <c r="GT195" s="240"/>
      <c r="GU195" s="240"/>
      <c r="GV195" s="240"/>
      <c r="GW195" s="240"/>
      <c r="GX195" s="240"/>
      <c r="GY195" s="240"/>
      <c r="GZ195" s="240"/>
      <c r="HA195" s="240"/>
      <c r="HB195" s="240"/>
      <c r="HC195" s="240"/>
      <c r="HD195" s="296"/>
      <c r="HE195" s="240"/>
      <c r="HF195" s="240"/>
      <c r="HG195" s="240"/>
      <c r="HH195" s="240"/>
      <c r="HI195" s="240"/>
      <c r="HJ195" s="296"/>
      <c r="HK195" s="240"/>
      <c r="HL195" s="296"/>
      <c r="HM195" s="241"/>
      <c r="HN195" s="235"/>
      <c r="HO195" s="235"/>
    </row>
    <row r="196" spans="2:225" hidden="1" outlineLevel="1">
      <c r="B196" s="275"/>
      <c r="C196" s="258" t="s">
        <v>116</v>
      </c>
      <c r="D196" s="236" t="s">
        <v>3284</v>
      </c>
      <c r="E196" s="248"/>
      <c r="F196" s="284" t="str">
        <f>IF(E196='3. Dropdowns'!C214,"","Submittals, Products")</f>
        <v>Submittals, Products</v>
      </c>
      <c r="G196" s="268"/>
      <c r="H196" s="296"/>
      <c r="I196" s="302" t="s">
        <v>890</v>
      </c>
      <c r="J196" s="299"/>
      <c r="K196" s="299"/>
      <c r="L196" s="299"/>
      <c r="M196" s="299"/>
      <c r="N196" s="299"/>
      <c r="O196" s="299"/>
      <c r="P196" s="299"/>
      <c r="Q196" s="299"/>
      <c r="R196" s="299"/>
      <c r="S196" s="299"/>
      <c r="T196" s="240" t="s">
        <v>890</v>
      </c>
      <c r="U196" s="298"/>
      <c r="V196" s="298"/>
      <c r="W196" s="298"/>
      <c r="X196" s="296"/>
      <c r="Y196" s="298"/>
      <c r="Z196" s="298"/>
      <c r="AA196" s="298"/>
      <c r="AB196" s="298"/>
      <c r="AC196" s="298"/>
      <c r="AD196" s="298"/>
      <c r="AE196" s="298"/>
      <c r="AF196" s="298"/>
      <c r="AG196" s="298"/>
      <c r="AH196" s="296"/>
      <c r="AI196" s="298"/>
      <c r="AJ196" s="298"/>
      <c r="AK196" s="298"/>
      <c r="AL196" s="298"/>
      <c r="AM196" s="296"/>
      <c r="AN196" s="298"/>
      <c r="AO196" s="298"/>
      <c r="AP196" s="298"/>
      <c r="AQ196" s="296"/>
      <c r="AR196" s="298"/>
      <c r="AS196" s="298"/>
      <c r="AT196" s="298"/>
      <c r="AU196" s="298"/>
      <c r="AV196" s="298"/>
      <c r="AW196" s="298"/>
      <c r="AX196" s="298"/>
      <c r="AY196" s="298"/>
      <c r="AZ196" s="296"/>
      <c r="BA196" s="298"/>
      <c r="BB196" s="298"/>
      <c r="BC196" s="298"/>
      <c r="BD196" s="298"/>
      <c r="BE196" s="298"/>
      <c r="BF196" s="298"/>
      <c r="BG196" s="298"/>
      <c r="BH196" s="298"/>
      <c r="BI196" s="298"/>
      <c r="BJ196" s="298"/>
      <c r="BK196" s="298"/>
      <c r="BL196" s="298"/>
      <c r="BM196" s="298"/>
      <c r="BN196" s="298"/>
      <c r="BO196" s="298"/>
      <c r="BP196" s="296"/>
      <c r="BQ196" s="298"/>
      <c r="BR196" s="298"/>
      <c r="BS196" s="298"/>
      <c r="BT196" s="298"/>
      <c r="BU196" s="298"/>
      <c r="BV196" s="298"/>
      <c r="BW196" s="298"/>
      <c r="BX196" s="298"/>
      <c r="BY196" s="298"/>
      <c r="BZ196" s="298"/>
      <c r="CA196" s="298"/>
      <c r="CB196" s="298"/>
      <c r="CC196" s="298"/>
      <c r="CD196" s="298"/>
      <c r="CE196" s="298"/>
      <c r="CF196" s="296"/>
      <c r="CG196" s="298"/>
      <c r="CH196" s="298"/>
      <c r="CI196" s="298"/>
      <c r="CJ196" s="298"/>
      <c r="CK196" s="298"/>
      <c r="CL196" s="298"/>
      <c r="CM196" s="298"/>
      <c r="CN196" s="298"/>
      <c r="CO196" s="298"/>
      <c r="CP196" s="298"/>
      <c r="CQ196" s="298"/>
      <c r="CR196" s="298"/>
      <c r="CS196" s="296"/>
      <c r="CT196" s="298"/>
      <c r="CU196" s="298"/>
      <c r="CV196" s="298"/>
      <c r="CW196" s="298"/>
      <c r="CX196" s="298"/>
      <c r="CY196" s="298"/>
      <c r="CZ196" s="298"/>
      <c r="DA196" s="298"/>
      <c r="DB196" s="298"/>
      <c r="DC196" s="298"/>
      <c r="DD196" s="298"/>
      <c r="DE196" s="298"/>
      <c r="DF196" s="296"/>
      <c r="DG196" s="298"/>
      <c r="DH196" s="298"/>
      <c r="DI196" s="298"/>
      <c r="DJ196" s="298"/>
      <c r="DK196" s="298"/>
      <c r="DL196" s="298"/>
      <c r="DM196" s="298"/>
      <c r="DN196" s="298"/>
      <c r="DO196" s="298"/>
      <c r="DP196" s="298"/>
      <c r="DQ196" s="298"/>
      <c r="DR196" s="296"/>
      <c r="DS196" s="298"/>
      <c r="DT196" s="298"/>
      <c r="DU196" s="298"/>
      <c r="DV196" s="296"/>
      <c r="DW196" s="298"/>
      <c r="DX196" s="298"/>
      <c r="DY196" s="298"/>
      <c r="DZ196" s="298"/>
      <c r="EA196" s="298"/>
      <c r="EB196" s="298"/>
      <c r="EC196" s="298"/>
      <c r="ED196" s="298"/>
      <c r="EE196" s="298"/>
      <c r="EF196" s="296"/>
      <c r="EG196" s="298"/>
      <c r="EH196" s="298"/>
      <c r="EI196" s="298"/>
      <c r="EJ196" s="296"/>
      <c r="EK196" s="298"/>
      <c r="EL196" s="296"/>
      <c r="EM196" s="298"/>
      <c r="EN196" s="298"/>
      <c r="EO196" s="298"/>
      <c r="EP196" s="298"/>
      <c r="EQ196" s="298"/>
      <c r="ER196" s="298"/>
      <c r="ES196" s="298"/>
      <c r="ET196" s="298"/>
      <c r="EU196" s="298"/>
      <c r="EV196" s="298"/>
      <c r="EW196" s="298"/>
      <c r="EX196" s="296"/>
      <c r="EY196" s="298"/>
      <c r="EZ196" s="298"/>
      <c r="FA196" s="298"/>
      <c r="FB196" s="298"/>
      <c r="FC196" s="298"/>
      <c r="FD196" s="298"/>
      <c r="FE196" s="298"/>
      <c r="FF196" s="298"/>
      <c r="FG196" s="298"/>
      <c r="FH196" s="298"/>
      <c r="FI196" s="298"/>
      <c r="FJ196" s="298"/>
      <c r="FK196" s="298"/>
      <c r="FL196" s="298"/>
      <c r="FM196" s="298"/>
      <c r="FN196" s="298"/>
      <c r="FO196" s="296"/>
      <c r="FP196" s="298"/>
      <c r="FQ196" s="298"/>
      <c r="FR196" s="298"/>
      <c r="FS196" s="298" t="s">
        <v>890</v>
      </c>
      <c r="FT196" s="298"/>
      <c r="FU196" s="298"/>
      <c r="FV196" s="298"/>
      <c r="FW196" s="298"/>
      <c r="FX196" s="298"/>
      <c r="FY196" s="298"/>
      <c r="FZ196" s="296"/>
      <c r="GA196" s="301"/>
      <c r="GB196" s="240"/>
      <c r="GC196" s="296"/>
      <c r="GD196" s="240"/>
      <c r="GE196" s="240"/>
      <c r="GF196" s="240"/>
      <c r="GG196" s="240"/>
      <c r="GH196" s="296"/>
      <c r="GI196" s="240"/>
      <c r="GJ196" s="240"/>
      <c r="GK196" s="240"/>
      <c r="GL196" s="240"/>
      <c r="GM196" s="296"/>
      <c r="GN196" s="240"/>
      <c r="GO196" s="240"/>
      <c r="GP196" s="240"/>
      <c r="GQ196" s="240"/>
      <c r="GR196" s="240"/>
      <c r="GS196" s="240"/>
      <c r="GT196" s="240"/>
      <c r="GU196" s="240"/>
      <c r="GV196" s="240"/>
      <c r="GW196" s="240"/>
      <c r="GX196" s="240"/>
      <c r="GY196" s="240"/>
      <c r="GZ196" s="240"/>
      <c r="HA196" s="240"/>
      <c r="HB196" s="240"/>
      <c r="HC196" s="240"/>
      <c r="HD196" s="296"/>
      <c r="HE196" s="240"/>
      <c r="HF196" s="240"/>
      <c r="HG196" s="240"/>
      <c r="HH196" s="240"/>
      <c r="HI196" s="240"/>
      <c r="HJ196" s="296"/>
      <c r="HK196" s="240"/>
      <c r="HL196" s="296"/>
      <c r="HM196" s="241"/>
      <c r="HN196" s="235"/>
      <c r="HO196" s="235"/>
    </row>
    <row r="197" spans="2:225" hidden="1" outlineLevel="1">
      <c r="B197" s="275"/>
      <c r="C197" s="258" t="s">
        <v>116</v>
      </c>
      <c r="D197" s="236" t="s">
        <v>3285</v>
      </c>
      <c r="E197" s="248"/>
      <c r="F197" s="284" t="str">
        <f>IF(E197="Criterion 5.6 not used.","","Submittals, Products, Execution")</f>
        <v>Submittals, Products, Execution</v>
      </c>
      <c r="G197" s="268"/>
      <c r="H197" s="294"/>
      <c r="I197" s="291" t="s">
        <v>890</v>
      </c>
      <c r="J197" s="292" t="s">
        <v>890</v>
      </c>
      <c r="K197" s="292"/>
      <c r="L197" s="292"/>
      <c r="M197" s="292"/>
      <c r="N197" s="292"/>
      <c r="O197" s="292"/>
      <c r="P197" s="292"/>
      <c r="Q197" s="292"/>
      <c r="R197" s="292"/>
      <c r="S197" s="292"/>
      <c r="T197" s="240" t="s">
        <v>890</v>
      </c>
      <c r="U197" s="240"/>
      <c r="V197" s="240"/>
      <c r="W197" s="240"/>
      <c r="X197" s="294"/>
      <c r="Y197" s="240"/>
      <c r="Z197" s="240"/>
      <c r="AA197" s="240"/>
      <c r="AB197" s="240"/>
      <c r="AC197" s="240"/>
      <c r="AD197" s="240"/>
      <c r="AE197" s="240"/>
      <c r="AF197" s="240"/>
      <c r="AG197" s="240"/>
      <c r="AH197" s="294"/>
      <c r="AI197" s="240"/>
      <c r="AJ197" s="240"/>
      <c r="AK197" s="240"/>
      <c r="AL197" s="240"/>
      <c r="AM197" s="294"/>
      <c r="AN197" s="240"/>
      <c r="AO197" s="240"/>
      <c r="AP197" s="240"/>
      <c r="AQ197" s="294"/>
      <c r="AR197" s="240"/>
      <c r="AS197" s="240"/>
      <c r="AT197" s="240"/>
      <c r="AU197" s="240"/>
      <c r="AV197" s="240"/>
      <c r="AW197" s="240"/>
      <c r="AX197" s="240"/>
      <c r="AY197" s="240"/>
      <c r="AZ197" s="294"/>
      <c r="BA197" s="240"/>
      <c r="BB197" s="240"/>
      <c r="BC197" s="240"/>
      <c r="BD197" s="240"/>
      <c r="BE197" s="240"/>
      <c r="BF197" s="240"/>
      <c r="BG197" s="240"/>
      <c r="BH197" s="240"/>
      <c r="BI197" s="240"/>
      <c r="BJ197" s="240"/>
      <c r="BK197" s="240"/>
      <c r="BL197" s="240"/>
      <c r="BM197" s="240"/>
      <c r="BN197" s="240"/>
      <c r="BO197" s="240"/>
      <c r="BP197" s="294"/>
      <c r="BQ197" s="240"/>
      <c r="BR197" s="240"/>
      <c r="BS197" s="240"/>
      <c r="BT197" s="240"/>
      <c r="BU197" s="240"/>
      <c r="BV197" s="240"/>
      <c r="BW197" s="240"/>
      <c r="BX197" s="240"/>
      <c r="BY197" s="240"/>
      <c r="BZ197" s="240"/>
      <c r="CA197" s="240"/>
      <c r="CB197" s="240"/>
      <c r="CC197" s="240"/>
      <c r="CD197" s="240"/>
      <c r="CE197" s="240"/>
      <c r="CF197" s="294"/>
      <c r="CG197" s="240"/>
      <c r="CH197" s="240"/>
      <c r="CI197" s="240"/>
      <c r="CJ197" s="240"/>
      <c r="CK197" s="240"/>
      <c r="CL197" s="240"/>
      <c r="CM197" s="240"/>
      <c r="CN197" s="240"/>
      <c r="CO197" s="240"/>
      <c r="CP197" s="240"/>
      <c r="CQ197" s="240"/>
      <c r="CR197" s="240"/>
      <c r="CS197" s="294"/>
      <c r="CT197" s="240"/>
      <c r="CU197" s="240"/>
      <c r="CV197" s="240"/>
      <c r="CW197" s="240"/>
      <c r="CX197" s="240"/>
      <c r="CY197" s="240"/>
      <c r="CZ197" s="240"/>
      <c r="DA197" s="240"/>
      <c r="DB197" s="240"/>
      <c r="DC197" s="240"/>
      <c r="DD197" s="240"/>
      <c r="DE197" s="240"/>
      <c r="DF197" s="294"/>
      <c r="DG197" s="240"/>
      <c r="DH197" s="240"/>
      <c r="DI197" s="240"/>
      <c r="DJ197" s="240"/>
      <c r="DK197" s="240"/>
      <c r="DL197" s="240"/>
      <c r="DM197" s="240"/>
      <c r="DN197" s="240"/>
      <c r="DO197" s="240"/>
      <c r="DP197" s="240"/>
      <c r="DQ197" s="240"/>
      <c r="DR197" s="294"/>
      <c r="DS197" s="240"/>
      <c r="DT197" s="240"/>
      <c r="DU197" s="240"/>
      <c r="DV197" s="294"/>
      <c r="DW197" s="240"/>
      <c r="DX197" s="240"/>
      <c r="DY197" s="240"/>
      <c r="DZ197" s="240"/>
      <c r="EA197" s="240"/>
      <c r="EB197" s="240"/>
      <c r="EC197" s="240"/>
      <c r="ED197" s="240"/>
      <c r="EE197" s="240"/>
      <c r="EF197" s="294"/>
      <c r="EG197" s="240"/>
      <c r="EH197" s="240"/>
      <c r="EI197" s="240"/>
      <c r="EJ197" s="294"/>
      <c r="EK197" s="240"/>
      <c r="EL197" s="294"/>
      <c r="EM197" s="240"/>
      <c r="EN197" s="240"/>
      <c r="EO197" s="240"/>
      <c r="EP197" s="240"/>
      <c r="EQ197" s="240"/>
      <c r="ER197" s="240"/>
      <c r="ES197" s="240"/>
      <c r="ET197" s="240"/>
      <c r="EU197" s="240"/>
      <c r="EV197" s="240"/>
      <c r="EW197" s="240"/>
      <c r="EX197" s="294"/>
      <c r="EY197" s="240"/>
      <c r="EZ197" s="240"/>
      <c r="FA197" s="240"/>
      <c r="FB197" s="240"/>
      <c r="FC197" s="240"/>
      <c r="FD197" s="240"/>
      <c r="FE197" s="240"/>
      <c r="FF197" s="240"/>
      <c r="FG197" s="240"/>
      <c r="FH197" s="240"/>
      <c r="FI197" s="240"/>
      <c r="FJ197" s="240"/>
      <c r="FK197" s="240"/>
      <c r="FL197" s="240"/>
      <c r="FM197" s="240"/>
      <c r="FN197" s="240"/>
      <c r="FO197" s="294"/>
      <c r="FP197" s="240"/>
      <c r="FQ197" s="240"/>
      <c r="FR197" s="240"/>
      <c r="FS197" s="240" t="s">
        <v>890</v>
      </c>
      <c r="FT197" s="240"/>
      <c r="FU197" s="240"/>
      <c r="FV197" s="240"/>
      <c r="FW197" s="240"/>
      <c r="FX197" s="240" t="s">
        <v>890</v>
      </c>
      <c r="FY197" s="240"/>
      <c r="FZ197" s="294"/>
      <c r="GA197" s="240"/>
      <c r="GB197" s="240"/>
      <c r="GC197" s="294"/>
      <c r="GD197" s="240"/>
      <c r="GE197" s="240"/>
      <c r="GF197" s="240"/>
      <c r="GG197" s="240"/>
      <c r="GH197" s="294"/>
      <c r="GI197" s="240"/>
      <c r="GJ197" s="240"/>
      <c r="GK197" s="240"/>
      <c r="GL197" s="240"/>
      <c r="GM197" s="294"/>
      <c r="GN197" s="240"/>
      <c r="GO197" s="240"/>
      <c r="GP197" s="240"/>
      <c r="GQ197" s="240"/>
      <c r="GR197" s="240"/>
      <c r="GS197" s="240"/>
      <c r="GT197" s="240"/>
      <c r="GU197" s="240"/>
      <c r="GV197" s="240"/>
      <c r="GW197" s="240"/>
      <c r="GX197" s="240"/>
      <c r="GY197" s="240"/>
      <c r="GZ197" s="240"/>
      <c r="HA197" s="240"/>
      <c r="HB197" s="240"/>
      <c r="HC197" s="240"/>
      <c r="HD197" s="294"/>
      <c r="HE197" s="240"/>
      <c r="HF197" s="240"/>
      <c r="HG197" s="240"/>
      <c r="HH197" s="240"/>
      <c r="HI197" s="240"/>
      <c r="HJ197" s="294"/>
      <c r="HK197" s="240"/>
      <c r="HL197" s="294"/>
      <c r="HM197" s="241"/>
      <c r="HN197" s="235"/>
      <c r="HO197" s="235"/>
    </row>
    <row r="198" spans="2:225" hidden="1" outlineLevel="1">
      <c r="B198" s="275"/>
      <c r="C198" s="258" t="s">
        <v>116</v>
      </c>
      <c r="D198" s="236" t="s">
        <v>3286</v>
      </c>
      <c r="E198" s="248"/>
      <c r="F198" s="284" t="str">
        <f>IF(E198='3. Dropdowns'!C221,"","Submittals, Products, Execution")</f>
        <v>Submittals, Products, Execution</v>
      </c>
      <c r="G198" s="268"/>
      <c r="H198" s="294"/>
      <c r="I198" s="291"/>
      <c r="J198" s="292" t="s">
        <v>890</v>
      </c>
      <c r="K198" s="292"/>
      <c r="L198" s="292"/>
      <c r="M198" s="292"/>
      <c r="N198" s="292"/>
      <c r="O198" s="292"/>
      <c r="P198" s="292"/>
      <c r="Q198" s="292"/>
      <c r="R198" s="292"/>
      <c r="S198" s="292"/>
      <c r="T198" s="240" t="s">
        <v>890</v>
      </c>
      <c r="U198" s="240"/>
      <c r="V198" s="240"/>
      <c r="W198" s="240"/>
      <c r="X198" s="294"/>
      <c r="Y198" s="240"/>
      <c r="Z198" s="240"/>
      <c r="AA198" s="240"/>
      <c r="AB198" s="240"/>
      <c r="AC198" s="240"/>
      <c r="AD198" s="240"/>
      <c r="AE198" s="240"/>
      <c r="AF198" s="240"/>
      <c r="AG198" s="240"/>
      <c r="AH198" s="294"/>
      <c r="AI198" s="240"/>
      <c r="AJ198" s="240"/>
      <c r="AK198" s="240"/>
      <c r="AL198" s="240"/>
      <c r="AM198" s="294"/>
      <c r="AN198" s="240"/>
      <c r="AO198" s="240"/>
      <c r="AP198" s="240"/>
      <c r="AQ198" s="294"/>
      <c r="AR198" s="240"/>
      <c r="AS198" s="240"/>
      <c r="AT198" s="240"/>
      <c r="AU198" s="240"/>
      <c r="AV198" s="240"/>
      <c r="AW198" s="240"/>
      <c r="AX198" s="240"/>
      <c r="AY198" s="240"/>
      <c r="AZ198" s="294"/>
      <c r="BA198" s="240"/>
      <c r="BB198" s="240"/>
      <c r="BC198" s="240"/>
      <c r="BD198" s="240"/>
      <c r="BE198" s="240"/>
      <c r="BF198" s="240"/>
      <c r="BG198" s="240"/>
      <c r="BH198" s="240"/>
      <c r="BI198" s="240"/>
      <c r="BJ198" s="240"/>
      <c r="BK198" s="240"/>
      <c r="BL198" s="240"/>
      <c r="BM198" s="240"/>
      <c r="BN198" s="240"/>
      <c r="BO198" s="240"/>
      <c r="BP198" s="294"/>
      <c r="BQ198" s="240"/>
      <c r="BR198" s="240"/>
      <c r="BS198" s="240"/>
      <c r="BT198" s="240"/>
      <c r="BU198" s="240"/>
      <c r="BV198" s="240"/>
      <c r="BW198" s="240"/>
      <c r="BX198" s="240"/>
      <c r="BY198" s="240"/>
      <c r="BZ198" s="240"/>
      <c r="CA198" s="240"/>
      <c r="CB198" s="240"/>
      <c r="CC198" s="240"/>
      <c r="CD198" s="240"/>
      <c r="CE198" s="240"/>
      <c r="CF198" s="294"/>
      <c r="CG198" s="240"/>
      <c r="CH198" s="240"/>
      <c r="CI198" s="240"/>
      <c r="CJ198" s="240"/>
      <c r="CK198" s="240"/>
      <c r="CL198" s="240"/>
      <c r="CM198" s="240"/>
      <c r="CN198" s="240"/>
      <c r="CO198" s="240"/>
      <c r="CP198" s="240"/>
      <c r="CQ198" s="240"/>
      <c r="CR198" s="240"/>
      <c r="CS198" s="294"/>
      <c r="CT198" s="240"/>
      <c r="CU198" s="240"/>
      <c r="CV198" s="240"/>
      <c r="CW198" s="240"/>
      <c r="CX198" s="240"/>
      <c r="CY198" s="240"/>
      <c r="CZ198" s="240"/>
      <c r="DA198" s="240"/>
      <c r="DB198" s="240"/>
      <c r="DC198" s="240"/>
      <c r="DD198" s="240"/>
      <c r="DE198" s="240"/>
      <c r="DF198" s="294"/>
      <c r="DG198" s="240"/>
      <c r="DH198" s="240"/>
      <c r="DI198" s="240"/>
      <c r="DJ198" s="240"/>
      <c r="DK198" s="240"/>
      <c r="DL198" s="240"/>
      <c r="DM198" s="240"/>
      <c r="DN198" s="240"/>
      <c r="DO198" s="240"/>
      <c r="DP198" s="240"/>
      <c r="DQ198" s="240"/>
      <c r="DR198" s="294"/>
      <c r="DS198" s="240"/>
      <c r="DT198" s="240"/>
      <c r="DU198" s="240"/>
      <c r="DV198" s="294"/>
      <c r="DW198" s="240"/>
      <c r="DX198" s="240"/>
      <c r="DY198" s="240"/>
      <c r="DZ198" s="240"/>
      <c r="EA198" s="240"/>
      <c r="EB198" s="240"/>
      <c r="EC198" s="240"/>
      <c r="ED198" s="240"/>
      <c r="EE198" s="240"/>
      <c r="EF198" s="294"/>
      <c r="EG198" s="240"/>
      <c r="EH198" s="240"/>
      <c r="EI198" s="240"/>
      <c r="EJ198" s="294"/>
      <c r="EK198" s="240"/>
      <c r="EL198" s="294"/>
      <c r="EM198" s="240"/>
      <c r="EN198" s="240"/>
      <c r="EO198" s="240"/>
      <c r="EP198" s="240"/>
      <c r="EQ198" s="240"/>
      <c r="ER198" s="240"/>
      <c r="ES198" s="240"/>
      <c r="ET198" s="240"/>
      <c r="EU198" s="240"/>
      <c r="EV198" s="240"/>
      <c r="EW198" s="240"/>
      <c r="EX198" s="294"/>
      <c r="EY198" s="240"/>
      <c r="EZ198" s="240"/>
      <c r="FA198" s="240"/>
      <c r="FB198" s="240"/>
      <c r="FC198" s="240"/>
      <c r="FD198" s="240"/>
      <c r="FE198" s="240"/>
      <c r="FF198" s="240"/>
      <c r="FG198" s="240"/>
      <c r="FH198" s="240"/>
      <c r="FI198" s="240"/>
      <c r="FJ198" s="240"/>
      <c r="FK198" s="240"/>
      <c r="FL198" s="240"/>
      <c r="FM198" s="240"/>
      <c r="FN198" s="240"/>
      <c r="FO198" s="294"/>
      <c r="FP198" s="240"/>
      <c r="FQ198" s="240"/>
      <c r="FR198" s="240"/>
      <c r="FS198" s="240"/>
      <c r="FT198" s="240"/>
      <c r="FU198" s="240"/>
      <c r="FV198" s="240"/>
      <c r="FW198" s="240"/>
      <c r="FX198" s="240" t="s">
        <v>890</v>
      </c>
      <c r="FY198" s="240"/>
      <c r="FZ198" s="294"/>
      <c r="GA198" s="240"/>
      <c r="GB198" s="240"/>
      <c r="GC198" s="294"/>
      <c r="GD198" s="240"/>
      <c r="GE198" s="240"/>
      <c r="GF198" s="240"/>
      <c r="GG198" s="240"/>
      <c r="GH198" s="294"/>
      <c r="GI198" s="240"/>
      <c r="GJ198" s="240"/>
      <c r="GK198" s="240"/>
      <c r="GL198" s="240"/>
      <c r="GM198" s="294"/>
      <c r="GN198" s="240"/>
      <c r="GO198" s="240"/>
      <c r="GP198" s="240"/>
      <c r="GQ198" s="240"/>
      <c r="GR198" s="240"/>
      <c r="GS198" s="240"/>
      <c r="GT198" s="240"/>
      <c r="GU198" s="240"/>
      <c r="GV198" s="240"/>
      <c r="GW198" s="240"/>
      <c r="GX198" s="240"/>
      <c r="GY198" s="240"/>
      <c r="GZ198" s="240"/>
      <c r="HA198" s="240"/>
      <c r="HB198" s="240"/>
      <c r="HC198" s="240"/>
      <c r="HD198" s="294"/>
      <c r="HE198" s="240"/>
      <c r="HF198" s="240"/>
      <c r="HG198" s="240"/>
      <c r="HH198" s="240"/>
      <c r="HI198" s="240"/>
      <c r="HJ198" s="294"/>
      <c r="HK198" s="240"/>
      <c r="HL198" s="294"/>
      <c r="HM198" s="241"/>
      <c r="HN198" s="235"/>
      <c r="HO198" s="235"/>
    </row>
    <row r="199" spans="2:225" hidden="1" outlineLevel="1">
      <c r="B199" s="308" t="s">
        <v>935</v>
      </c>
      <c r="C199" s="258" t="str">
        <f>IF(D7='3. Dropdowns'!C17,"Hide",IF('1. Criteria &amp; Spec Matrix'!D5='3. Dropdowns'!C9,"Hide","Show"))</f>
        <v>Show</v>
      </c>
      <c r="D199" s="236" t="s">
        <v>3287</v>
      </c>
      <c r="E199" s="248"/>
      <c r="F199" s="284"/>
      <c r="G199" s="268"/>
      <c r="H199" s="294"/>
      <c r="I199" s="291"/>
      <c r="J199" s="292"/>
      <c r="K199" s="292"/>
      <c r="L199" s="292"/>
      <c r="M199" s="292"/>
      <c r="N199" s="292"/>
      <c r="O199" s="292"/>
      <c r="P199" s="292"/>
      <c r="Q199" s="292"/>
      <c r="R199" s="292"/>
      <c r="S199" s="292"/>
      <c r="T199" s="240"/>
      <c r="U199" s="240"/>
      <c r="V199" s="240"/>
      <c r="W199" s="240"/>
      <c r="X199" s="294"/>
      <c r="Y199" s="240"/>
      <c r="Z199" s="240"/>
      <c r="AA199" s="240"/>
      <c r="AB199" s="240"/>
      <c r="AC199" s="240"/>
      <c r="AD199" s="240"/>
      <c r="AE199" s="240"/>
      <c r="AF199" s="240"/>
      <c r="AG199" s="240"/>
      <c r="AH199" s="294"/>
      <c r="AI199" s="240"/>
      <c r="AJ199" s="240"/>
      <c r="AK199" s="240"/>
      <c r="AL199" s="240"/>
      <c r="AM199" s="294"/>
      <c r="AN199" s="240"/>
      <c r="AO199" s="240"/>
      <c r="AP199" s="240"/>
      <c r="AQ199" s="294"/>
      <c r="AR199" s="240"/>
      <c r="AS199" s="240"/>
      <c r="AT199" s="240"/>
      <c r="AU199" s="240"/>
      <c r="AV199" s="240"/>
      <c r="AW199" s="240"/>
      <c r="AX199" s="240"/>
      <c r="AY199" s="240"/>
      <c r="AZ199" s="294"/>
      <c r="BA199" s="240"/>
      <c r="BB199" s="240"/>
      <c r="BC199" s="240"/>
      <c r="BD199" s="240"/>
      <c r="BE199" s="240"/>
      <c r="BF199" s="240"/>
      <c r="BG199" s="240"/>
      <c r="BH199" s="240"/>
      <c r="BI199" s="240"/>
      <c r="BJ199" s="240"/>
      <c r="BK199" s="240"/>
      <c r="BL199" s="240"/>
      <c r="BM199" s="240"/>
      <c r="BN199" s="240"/>
      <c r="BO199" s="240"/>
      <c r="BP199" s="294"/>
      <c r="BQ199" s="240"/>
      <c r="BR199" s="240"/>
      <c r="BS199" s="240"/>
      <c r="BT199" s="240"/>
      <c r="BU199" s="240"/>
      <c r="BV199" s="240"/>
      <c r="BW199" s="240"/>
      <c r="BX199" s="240"/>
      <c r="BY199" s="240"/>
      <c r="BZ199" s="240"/>
      <c r="CA199" s="240"/>
      <c r="CB199" s="240"/>
      <c r="CC199" s="240"/>
      <c r="CD199" s="240"/>
      <c r="CE199" s="240"/>
      <c r="CF199" s="294"/>
      <c r="CG199" s="240"/>
      <c r="CH199" s="240"/>
      <c r="CI199" s="240"/>
      <c r="CJ199" s="240"/>
      <c r="CK199" s="240"/>
      <c r="CL199" s="240"/>
      <c r="CM199" s="240"/>
      <c r="CN199" s="240"/>
      <c r="CO199" s="240"/>
      <c r="CP199" s="240"/>
      <c r="CQ199" s="240"/>
      <c r="CR199" s="240"/>
      <c r="CS199" s="294"/>
      <c r="CT199" s="240"/>
      <c r="CU199" s="240"/>
      <c r="CV199" s="240"/>
      <c r="CW199" s="240"/>
      <c r="CX199" s="240"/>
      <c r="CY199" s="240"/>
      <c r="CZ199" s="240"/>
      <c r="DA199" s="240"/>
      <c r="DB199" s="240"/>
      <c r="DC199" s="240"/>
      <c r="DD199" s="240"/>
      <c r="DE199" s="240"/>
      <c r="DF199" s="294"/>
      <c r="DG199" s="240"/>
      <c r="DH199" s="240"/>
      <c r="DI199" s="240"/>
      <c r="DJ199" s="240"/>
      <c r="DK199" s="240"/>
      <c r="DL199" s="240"/>
      <c r="DM199" s="240"/>
      <c r="DN199" s="240"/>
      <c r="DO199" s="240"/>
      <c r="DP199" s="240"/>
      <c r="DQ199" s="240"/>
      <c r="DR199" s="294"/>
      <c r="DS199" s="240"/>
      <c r="DT199" s="240"/>
      <c r="DU199" s="240"/>
      <c r="DV199" s="294"/>
      <c r="DW199" s="240"/>
      <c r="DX199" s="240"/>
      <c r="DY199" s="240"/>
      <c r="DZ199" s="240"/>
      <c r="EA199" s="240"/>
      <c r="EB199" s="240"/>
      <c r="EC199" s="240"/>
      <c r="ED199" s="240"/>
      <c r="EE199" s="240"/>
      <c r="EF199" s="294"/>
      <c r="EG199" s="240"/>
      <c r="EH199" s="240"/>
      <c r="EI199" s="240"/>
      <c r="EJ199" s="294"/>
      <c r="EK199" s="240"/>
      <c r="EL199" s="294"/>
      <c r="EM199" s="240"/>
      <c r="EN199" s="240"/>
      <c r="EO199" s="240"/>
      <c r="EP199" s="240"/>
      <c r="EQ199" s="240"/>
      <c r="ER199" s="240"/>
      <c r="ES199" s="240"/>
      <c r="ET199" s="240"/>
      <c r="EU199" s="240"/>
      <c r="EV199" s="240"/>
      <c r="EW199" s="240"/>
      <c r="EX199" s="294"/>
      <c r="EY199" s="240"/>
      <c r="EZ199" s="240"/>
      <c r="FA199" s="240"/>
      <c r="FB199" s="240"/>
      <c r="FC199" s="240"/>
      <c r="FD199" s="240"/>
      <c r="FE199" s="240"/>
      <c r="FF199" s="240"/>
      <c r="FG199" s="240"/>
      <c r="FH199" s="240"/>
      <c r="FI199" s="240"/>
      <c r="FJ199" s="240"/>
      <c r="FK199" s="240"/>
      <c r="FL199" s="240"/>
      <c r="FM199" s="240"/>
      <c r="FN199" s="240"/>
      <c r="FO199" s="294"/>
      <c r="FP199" s="240"/>
      <c r="FQ199" s="240" t="s">
        <v>890</v>
      </c>
      <c r="FR199" s="240" t="s">
        <v>890</v>
      </c>
      <c r="FS199" s="240" t="s">
        <v>890</v>
      </c>
      <c r="FT199" s="240"/>
      <c r="FU199" s="240" t="s">
        <v>890</v>
      </c>
      <c r="FV199" s="240" t="s">
        <v>890</v>
      </c>
      <c r="FW199" s="240" t="s">
        <v>890</v>
      </c>
      <c r="FX199" s="240"/>
      <c r="FY199" s="240"/>
      <c r="FZ199" s="294"/>
      <c r="GA199" s="240"/>
      <c r="GB199" s="240"/>
      <c r="GC199" s="294"/>
      <c r="GD199" s="240"/>
      <c r="GE199" s="240"/>
      <c r="GF199" s="240"/>
      <c r="GG199" s="240"/>
      <c r="GH199" s="294"/>
      <c r="GI199" s="240"/>
      <c r="GJ199" s="240"/>
      <c r="GK199" s="240"/>
      <c r="GL199" s="240"/>
      <c r="GM199" s="294"/>
      <c r="GN199" s="240"/>
      <c r="GO199" s="240"/>
      <c r="GP199" s="240"/>
      <c r="GQ199" s="240"/>
      <c r="GR199" s="240"/>
      <c r="GS199" s="240"/>
      <c r="GT199" s="240"/>
      <c r="GU199" s="240"/>
      <c r="GV199" s="240"/>
      <c r="GW199" s="240"/>
      <c r="GX199" s="240"/>
      <c r="GY199" s="240"/>
      <c r="GZ199" s="240"/>
      <c r="HA199" s="240"/>
      <c r="HB199" s="240"/>
      <c r="HC199" s="240"/>
      <c r="HD199" s="294"/>
      <c r="HE199" s="240"/>
      <c r="HF199" s="240"/>
      <c r="HG199" s="240"/>
      <c r="HH199" s="240"/>
      <c r="HI199" s="240"/>
      <c r="HJ199" s="294"/>
      <c r="HK199" s="240"/>
      <c r="HL199" s="294"/>
      <c r="HM199" s="241"/>
      <c r="HN199" s="235"/>
      <c r="HO199" s="235"/>
    </row>
    <row r="200" spans="2:225" ht="37.5" hidden="1" outlineLevel="1">
      <c r="B200" s="308" t="s">
        <v>935</v>
      </c>
      <c r="C200" s="258" t="str">
        <f>IF(E199='3. Dropdowns'!C231,"Hide",IF(D7='3. Dropdowns'!C17,"Hide",IF('1. Criteria &amp; Spec Matrix'!D5='3. Dropdowns'!C9,"Hide","Show")))</f>
        <v>Show</v>
      </c>
      <c r="D200" s="236" t="s">
        <v>3288</v>
      </c>
      <c r="E200" s="248"/>
      <c r="F200" s="284" t="str">
        <f>IF(E200='3. Dropdowns'!C234,"","Submittals, Execution")</f>
        <v>Submittals, Execution</v>
      </c>
      <c r="G200" s="268"/>
      <c r="H200" s="294"/>
      <c r="I200" s="291"/>
      <c r="J200" s="292" t="s">
        <v>890</v>
      </c>
      <c r="K200" s="292"/>
      <c r="L200" s="292"/>
      <c r="M200" s="292"/>
      <c r="N200" s="292"/>
      <c r="O200" s="292"/>
      <c r="P200" s="292"/>
      <c r="Q200" s="292"/>
      <c r="R200" s="292"/>
      <c r="S200" s="292"/>
      <c r="T200" s="240" t="s">
        <v>890</v>
      </c>
      <c r="U200" s="240"/>
      <c r="V200" s="240"/>
      <c r="W200" s="240"/>
      <c r="X200" s="294"/>
      <c r="Y200" s="240"/>
      <c r="Z200" s="240"/>
      <c r="AA200" s="240"/>
      <c r="AB200" s="240"/>
      <c r="AC200" s="240"/>
      <c r="AD200" s="240"/>
      <c r="AE200" s="240"/>
      <c r="AF200" s="240"/>
      <c r="AG200" s="240"/>
      <c r="AH200" s="294"/>
      <c r="AI200" s="240"/>
      <c r="AJ200" s="240"/>
      <c r="AK200" s="240"/>
      <c r="AL200" s="240"/>
      <c r="AM200" s="294"/>
      <c r="AN200" s="240"/>
      <c r="AO200" s="240"/>
      <c r="AP200" s="240"/>
      <c r="AQ200" s="294"/>
      <c r="AR200" s="240"/>
      <c r="AS200" s="240"/>
      <c r="AT200" s="240"/>
      <c r="AU200" s="240"/>
      <c r="AV200" s="240"/>
      <c r="AW200" s="240"/>
      <c r="AX200" s="240"/>
      <c r="AY200" s="240"/>
      <c r="AZ200" s="294"/>
      <c r="BA200" s="240"/>
      <c r="BB200" s="240"/>
      <c r="BC200" s="240"/>
      <c r="BD200" s="240"/>
      <c r="BE200" s="240"/>
      <c r="BF200" s="240"/>
      <c r="BG200" s="240"/>
      <c r="BH200" s="240"/>
      <c r="BI200" s="240"/>
      <c r="BJ200" s="240"/>
      <c r="BK200" s="240"/>
      <c r="BL200" s="240"/>
      <c r="BM200" s="240"/>
      <c r="BN200" s="240"/>
      <c r="BO200" s="240"/>
      <c r="BP200" s="294"/>
      <c r="BQ200" s="240"/>
      <c r="BR200" s="240"/>
      <c r="BS200" s="240"/>
      <c r="BT200" s="240"/>
      <c r="BU200" s="240"/>
      <c r="BV200" s="240"/>
      <c r="BW200" s="240"/>
      <c r="BX200" s="240"/>
      <c r="BY200" s="240"/>
      <c r="BZ200" s="240"/>
      <c r="CA200" s="240"/>
      <c r="CB200" s="240"/>
      <c r="CC200" s="240"/>
      <c r="CD200" s="240"/>
      <c r="CE200" s="240"/>
      <c r="CF200" s="294"/>
      <c r="CG200" s="240"/>
      <c r="CH200" s="240"/>
      <c r="CI200" s="240"/>
      <c r="CJ200" s="240"/>
      <c r="CK200" s="240"/>
      <c r="CL200" s="240"/>
      <c r="CM200" s="240"/>
      <c r="CN200" s="240"/>
      <c r="CO200" s="240"/>
      <c r="CP200" s="240"/>
      <c r="CQ200" s="240"/>
      <c r="CR200" s="240"/>
      <c r="CS200" s="294"/>
      <c r="CT200" s="240"/>
      <c r="CU200" s="240"/>
      <c r="CV200" s="240"/>
      <c r="CW200" s="240"/>
      <c r="CX200" s="240"/>
      <c r="CY200" s="240"/>
      <c r="CZ200" s="240"/>
      <c r="DA200" s="240"/>
      <c r="DB200" s="240"/>
      <c r="DC200" s="240"/>
      <c r="DD200" s="240"/>
      <c r="DE200" s="240"/>
      <c r="DF200" s="294"/>
      <c r="DG200" s="240"/>
      <c r="DH200" s="240"/>
      <c r="DI200" s="240"/>
      <c r="DJ200" s="240"/>
      <c r="DK200" s="240"/>
      <c r="DL200" s="240"/>
      <c r="DM200" s="240"/>
      <c r="DN200" s="240"/>
      <c r="DO200" s="240"/>
      <c r="DP200" s="240"/>
      <c r="DQ200" s="240"/>
      <c r="DR200" s="294"/>
      <c r="DS200" s="240"/>
      <c r="DT200" s="240"/>
      <c r="DU200" s="240"/>
      <c r="DV200" s="294"/>
      <c r="DW200" s="240"/>
      <c r="DX200" s="240"/>
      <c r="DY200" s="240"/>
      <c r="DZ200" s="240"/>
      <c r="EA200" s="240"/>
      <c r="EB200" s="240"/>
      <c r="EC200" s="240"/>
      <c r="ED200" s="240"/>
      <c r="EE200" s="240"/>
      <c r="EF200" s="294"/>
      <c r="EG200" s="240"/>
      <c r="EH200" s="240"/>
      <c r="EI200" s="240"/>
      <c r="EJ200" s="294"/>
      <c r="EK200" s="240"/>
      <c r="EL200" s="294"/>
      <c r="EM200" s="240"/>
      <c r="EN200" s="240"/>
      <c r="EO200" s="240"/>
      <c r="EP200" s="240"/>
      <c r="EQ200" s="240"/>
      <c r="ER200" s="240"/>
      <c r="ES200" s="240"/>
      <c r="ET200" s="240"/>
      <c r="EU200" s="240"/>
      <c r="EV200" s="240"/>
      <c r="EW200" s="240"/>
      <c r="EX200" s="294"/>
      <c r="EY200" s="240"/>
      <c r="EZ200" s="240"/>
      <c r="FA200" s="240"/>
      <c r="FB200" s="240"/>
      <c r="FC200" s="240"/>
      <c r="FD200" s="240"/>
      <c r="FE200" s="240"/>
      <c r="FF200" s="240"/>
      <c r="FG200" s="240"/>
      <c r="FH200" s="240"/>
      <c r="FI200" s="240"/>
      <c r="FJ200" s="240"/>
      <c r="FK200" s="240"/>
      <c r="FL200" s="240"/>
      <c r="FM200" s="240"/>
      <c r="FN200" s="240"/>
      <c r="FO200" s="294"/>
      <c r="FP200" s="240"/>
      <c r="FQ200" s="240" t="s">
        <v>890</v>
      </c>
      <c r="FR200" s="240" t="s">
        <v>890</v>
      </c>
      <c r="FS200" s="240" t="s">
        <v>890</v>
      </c>
      <c r="FT200" s="240"/>
      <c r="FU200" s="240" t="s">
        <v>890</v>
      </c>
      <c r="FV200" s="240" t="s">
        <v>890</v>
      </c>
      <c r="FW200" s="240" t="s">
        <v>890</v>
      </c>
      <c r="FX200" s="240"/>
      <c r="FY200" s="240"/>
      <c r="FZ200" s="294"/>
      <c r="GA200" s="240"/>
      <c r="GB200" s="240"/>
      <c r="GC200" s="294"/>
      <c r="GD200" s="240"/>
      <c r="GE200" s="240"/>
      <c r="GF200" s="240"/>
      <c r="GG200" s="240"/>
      <c r="GH200" s="294"/>
      <c r="GI200" s="240"/>
      <c r="GJ200" s="240"/>
      <c r="GK200" s="240"/>
      <c r="GL200" s="240"/>
      <c r="GM200" s="294"/>
      <c r="GN200" s="240"/>
      <c r="GO200" s="240"/>
      <c r="GP200" s="240"/>
      <c r="GQ200" s="240"/>
      <c r="GR200" s="240"/>
      <c r="GS200" s="240"/>
      <c r="GT200" s="240"/>
      <c r="GU200" s="240"/>
      <c r="GV200" s="240"/>
      <c r="GW200" s="240"/>
      <c r="GX200" s="240"/>
      <c r="GY200" s="240"/>
      <c r="GZ200" s="240"/>
      <c r="HA200" s="240"/>
      <c r="HB200" s="240"/>
      <c r="HC200" s="240"/>
      <c r="HD200" s="294"/>
      <c r="HE200" s="240"/>
      <c r="HF200" s="240"/>
      <c r="HG200" s="240"/>
      <c r="HH200" s="240"/>
      <c r="HI200" s="240"/>
      <c r="HJ200" s="294"/>
      <c r="HK200" s="240"/>
      <c r="HL200" s="294"/>
      <c r="HM200" s="241"/>
      <c r="HN200" s="235"/>
      <c r="HO200" s="235"/>
    </row>
    <row r="201" spans="2:225" hidden="1" outlineLevel="1">
      <c r="B201" s="257" t="s">
        <v>3006</v>
      </c>
      <c r="C201" s="258" t="str">
        <f>IF(E199='3. Dropdowns'!C231,"Hide",IF(OR(E200="",E200='3. Dropdowns'!C234),"Show","Hide"))</f>
        <v>Show</v>
      </c>
      <c r="D201" s="236" t="s">
        <v>3289</v>
      </c>
      <c r="E201" s="248"/>
      <c r="F201" s="284" t="str">
        <f>IF(E201='3. Dropdowns'!C239,"","Submittals, Execution")</f>
        <v>Submittals, Execution</v>
      </c>
      <c r="G201" s="268"/>
      <c r="H201" s="294"/>
      <c r="I201" s="291"/>
      <c r="J201" s="292" t="s">
        <v>890</v>
      </c>
      <c r="K201" s="292"/>
      <c r="L201" s="292"/>
      <c r="M201" s="292"/>
      <c r="N201" s="292"/>
      <c r="O201" s="292"/>
      <c r="P201" s="292"/>
      <c r="Q201" s="292"/>
      <c r="R201" s="292"/>
      <c r="S201" s="292"/>
      <c r="T201" s="240" t="s">
        <v>890</v>
      </c>
      <c r="U201" s="240"/>
      <c r="V201" s="240"/>
      <c r="W201" s="240"/>
      <c r="X201" s="294"/>
      <c r="Y201" s="240"/>
      <c r="Z201" s="240"/>
      <c r="AA201" s="240"/>
      <c r="AB201" s="240"/>
      <c r="AC201" s="240"/>
      <c r="AD201" s="240"/>
      <c r="AE201" s="240"/>
      <c r="AF201" s="240"/>
      <c r="AG201" s="240"/>
      <c r="AH201" s="294"/>
      <c r="AI201" s="240"/>
      <c r="AJ201" s="240"/>
      <c r="AK201" s="240"/>
      <c r="AL201" s="240"/>
      <c r="AM201" s="294"/>
      <c r="AN201" s="240"/>
      <c r="AO201" s="240"/>
      <c r="AP201" s="240"/>
      <c r="AQ201" s="294"/>
      <c r="AR201" s="240"/>
      <c r="AS201" s="240"/>
      <c r="AT201" s="240"/>
      <c r="AU201" s="240"/>
      <c r="AV201" s="240"/>
      <c r="AW201" s="240"/>
      <c r="AX201" s="240"/>
      <c r="AY201" s="240"/>
      <c r="AZ201" s="294"/>
      <c r="BA201" s="240"/>
      <c r="BB201" s="240"/>
      <c r="BC201" s="240"/>
      <c r="BD201" s="240"/>
      <c r="BE201" s="240"/>
      <c r="BF201" s="240"/>
      <c r="BG201" s="240"/>
      <c r="BH201" s="240"/>
      <c r="BI201" s="240"/>
      <c r="BJ201" s="240"/>
      <c r="BK201" s="240"/>
      <c r="BL201" s="240"/>
      <c r="BM201" s="240"/>
      <c r="BN201" s="240"/>
      <c r="BO201" s="240"/>
      <c r="BP201" s="294"/>
      <c r="BQ201" s="240"/>
      <c r="BR201" s="240"/>
      <c r="BS201" s="240"/>
      <c r="BT201" s="240"/>
      <c r="BU201" s="240"/>
      <c r="BV201" s="240"/>
      <c r="BW201" s="240"/>
      <c r="BX201" s="240"/>
      <c r="BY201" s="240"/>
      <c r="BZ201" s="240"/>
      <c r="CA201" s="240"/>
      <c r="CB201" s="240"/>
      <c r="CC201" s="240"/>
      <c r="CD201" s="240"/>
      <c r="CE201" s="240"/>
      <c r="CF201" s="294"/>
      <c r="CG201" s="240"/>
      <c r="CH201" s="240"/>
      <c r="CI201" s="240"/>
      <c r="CJ201" s="240"/>
      <c r="CK201" s="240"/>
      <c r="CL201" s="240"/>
      <c r="CM201" s="240"/>
      <c r="CN201" s="240"/>
      <c r="CO201" s="240"/>
      <c r="CP201" s="240"/>
      <c r="CQ201" s="240"/>
      <c r="CR201" s="240"/>
      <c r="CS201" s="294"/>
      <c r="CT201" s="240"/>
      <c r="CU201" s="240"/>
      <c r="CV201" s="240"/>
      <c r="CW201" s="240"/>
      <c r="CX201" s="240"/>
      <c r="CY201" s="240"/>
      <c r="CZ201" s="240"/>
      <c r="DA201" s="240"/>
      <c r="DB201" s="240"/>
      <c r="DC201" s="240"/>
      <c r="DD201" s="240"/>
      <c r="DE201" s="240"/>
      <c r="DF201" s="294"/>
      <c r="DG201" s="240"/>
      <c r="DH201" s="240"/>
      <c r="DI201" s="240"/>
      <c r="DJ201" s="240"/>
      <c r="DK201" s="240"/>
      <c r="DL201" s="240"/>
      <c r="DM201" s="240"/>
      <c r="DN201" s="240"/>
      <c r="DO201" s="240"/>
      <c r="DP201" s="240"/>
      <c r="DQ201" s="240"/>
      <c r="DR201" s="294"/>
      <c r="DS201" s="240"/>
      <c r="DT201" s="240"/>
      <c r="DU201" s="240"/>
      <c r="DV201" s="294"/>
      <c r="DW201" s="240"/>
      <c r="DX201" s="240"/>
      <c r="DY201" s="240"/>
      <c r="DZ201" s="240"/>
      <c r="EA201" s="240"/>
      <c r="EB201" s="240"/>
      <c r="EC201" s="240"/>
      <c r="ED201" s="240"/>
      <c r="EE201" s="240"/>
      <c r="EF201" s="294"/>
      <c r="EG201" s="240"/>
      <c r="EH201" s="240"/>
      <c r="EI201" s="240"/>
      <c r="EJ201" s="294"/>
      <c r="EK201" s="240"/>
      <c r="EL201" s="294"/>
      <c r="EM201" s="240"/>
      <c r="EN201" s="240"/>
      <c r="EO201" s="240"/>
      <c r="EP201" s="240"/>
      <c r="EQ201" s="240"/>
      <c r="ER201" s="240"/>
      <c r="ES201" s="240"/>
      <c r="ET201" s="240"/>
      <c r="EU201" s="240"/>
      <c r="EV201" s="240"/>
      <c r="EW201" s="240"/>
      <c r="EX201" s="294"/>
      <c r="EY201" s="240"/>
      <c r="EZ201" s="240"/>
      <c r="FA201" s="240"/>
      <c r="FB201" s="240"/>
      <c r="FC201" s="240"/>
      <c r="FD201" s="240"/>
      <c r="FE201" s="240"/>
      <c r="FF201" s="240"/>
      <c r="FG201" s="240"/>
      <c r="FH201" s="240"/>
      <c r="FI201" s="240"/>
      <c r="FJ201" s="240"/>
      <c r="FK201" s="240"/>
      <c r="FL201" s="240"/>
      <c r="FM201" s="240"/>
      <c r="FN201" s="240"/>
      <c r="FO201" s="294"/>
      <c r="FP201" s="240"/>
      <c r="FQ201" s="240" t="s">
        <v>890</v>
      </c>
      <c r="FR201" s="240" t="s">
        <v>890</v>
      </c>
      <c r="FS201" s="240" t="s">
        <v>890</v>
      </c>
      <c r="FT201" s="240"/>
      <c r="FU201" s="240" t="s">
        <v>890</v>
      </c>
      <c r="FV201" s="240" t="s">
        <v>890</v>
      </c>
      <c r="FW201" s="240" t="s">
        <v>890</v>
      </c>
      <c r="FX201" s="240"/>
      <c r="FY201" s="240"/>
      <c r="FZ201" s="294"/>
      <c r="GA201" s="240"/>
      <c r="GB201" s="240"/>
      <c r="GC201" s="294"/>
      <c r="GD201" s="240"/>
      <c r="GE201" s="240"/>
      <c r="GF201" s="240"/>
      <c r="GG201" s="240"/>
      <c r="GH201" s="294"/>
      <c r="GI201" s="240"/>
      <c r="GJ201" s="240"/>
      <c r="GK201" s="240"/>
      <c r="GL201" s="240"/>
      <c r="GM201" s="294"/>
      <c r="GN201" s="240"/>
      <c r="GO201" s="240"/>
      <c r="GP201" s="240"/>
      <c r="GQ201" s="240"/>
      <c r="GR201" s="240"/>
      <c r="GS201" s="240"/>
      <c r="GT201" s="240"/>
      <c r="GU201" s="240"/>
      <c r="GV201" s="240"/>
      <c r="GW201" s="240"/>
      <c r="GX201" s="240"/>
      <c r="GY201" s="240"/>
      <c r="GZ201" s="240"/>
      <c r="HA201" s="240"/>
      <c r="HB201" s="240"/>
      <c r="HC201" s="240"/>
      <c r="HD201" s="294"/>
      <c r="HE201" s="240"/>
      <c r="HF201" s="240"/>
      <c r="HG201" s="240"/>
      <c r="HH201" s="240"/>
      <c r="HI201" s="240"/>
      <c r="HJ201" s="294"/>
      <c r="HK201" s="240"/>
      <c r="HL201" s="294"/>
      <c r="HM201" s="241"/>
      <c r="HN201" s="235"/>
      <c r="HO201" s="235"/>
    </row>
    <row r="202" spans="2:225" hidden="1" outlineLevel="1">
      <c r="B202" s="308" t="s">
        <v>2616</v>
      </c>
      <c r="C202" s="258" t="str">
        <f>IF(E199='3. Dropdowns'!C231,"Hide",IF(AND(C199="Hide",E201='3. Dropdowns'!C239),"Hide","Show"))</f>
        <v>Show</v>
      </c>
      <c r="D202" s="236" t="s">
        <v>3290</v>
      </c>
      <c r="E202" s="248"/>
      <c r="F202" s="284" t="str">
        <f>IF(E202='3. Dropdowns'!C238,"","Submittals")</f>
        <v>Submittals</v>
      </c>
      <c r="G202" s="268"/>
      <c r="H202" s="294"/>
      <c r="I202" s="291"/>
      <c r="J202" s="292" t="s">
        <v>890</v>
      </c>
      <c r="K202" s="292"/>
      <c r="L202" s="292"/>
      <c r="M202" s="292"/>
      <c r="N202" s="292"/>
      <c r="O202" s="292"/>
      <c r="P202" s="292"/>
      <c r="Q202" s="292"/>
      <c r="R202" s="292"/>
      <c r="S202" s="292"/>
      <c r="T202" s="240" t="s">
        <v>890</v>
      </c>
      <c r="U202" s="240"/>
      <c r="V202" s="240"/>
      <c r="W202" s="240"/>
      <c r="X202" s="294"/>
      <c r="Y202" s="240"/>
      <c r="Z202" s="240"/>
      <c r="AA202" s="240"/>
      <c r="AB202" s="240"/>
      <c r="AC202" s="240"/>
      <c r="AD202" s="240"/>
      <c r="AE202" s="240"/>
      <c r="AF202" s="240"/>
      <c r="AG202" s="240"/>
      <c r="AH202" s="294"/>
      <c r="AI202" s="240"/>
      <c r="AJ202" s="240"/>
      <c r="AK202" s="240"/>
      <c r="AL202" s="240"/>
      <c r="AM202" s="294"/>
      <c r="AN202" s="240"/>
      <c r="AO202" s="240"/>
      <c r="AP202" s="240"/>
      <c r="AQ202" s="294"/>
      <c r="AR202" s="240"/>
      <c r="AS202" s="240"/>
      <c r="AT202" s="240"/>
      <c r="AU202" s="240"/>
      <c r="AV202" s="240"/>
      <c r="AW202" s="240"/>
      <c r="AX202" s="240"/>
      <c r="AY202" s="240"/>
      <c r="AZ202" s="294"/>
      <c r="BA202" s="240"/>
      <c r="BB202" s="240"/>
      <c r="BC202" s="240"/>
      <c r="BD202" s="240"/>
      <c r="BE202" s="240"/>
      <c r="BF202" s="240"/>
      <c r="BG202" s="240"/>
      <c r="BH202" s="240"/>
      <c r="BI202" s="240"/>
      <c r="BJ202" s="240"/>
      <c r="BK202" s="240"/>
      <c r="BL202" s="240"/>
      <c r="BM202" s="240"/>
      <c r="BN202" s="240"/>
      <c r="BO202" s="240"/>
      <c r="BP202" s="294"/>
      <c r="BQ202" s="240"/>
      <c r="BR202" s="240"/>
      <c r="BS202" s="240"/>
      <c r="BT202" s="240"/>
      <c r="BU202" s="240"/>
      <c r="BV202" s="240"/>
      <c r="BW202" s="240"/>
      <c r="BX202" s="240"/>
      <c r="BY202" s="240"/>
      <c r="BZ202" s="240"/>
      <c r="CA202" s="240"/>
      <c r="CB202" s="240"/>
      <c r="CC202" s="240"/>
      <c r="CD202" s="240"/>
      <c r="CE202" s="240"/>
      <c r="CF202" s="294"/>
      <c r="CG202" s="240"/>
      <c r="CH202" s="240"/>
      <c r="CI202" s="240"/>
      <c r="CJ202" s="240"/>
      <c r="CK202" s="240"/>
      <c r="CL202" s="240"/>
      <c r="CM202" s="240"/>
      <c r="CN202" s="240"/>
      <c r="CO202" s="240"/>
      <c r="CP202" s="240"/>
      <c r="CQ202" s="240"/>
      <c r="CR202" s="240"/>
      <c r="CS202" s="294"/>
      <c r="CT202" s="240"/>
      <c r="CU202" s="240"/>
      <c r="CV202" s="240"/>
      <c r="CW202" s="240"/>
      <c r="CX202" s="240"/>
      <c r="CY202" s="240"/>
      <c r="CZ202" s="240"/>
      <c r="DA202" s="240"/>
      <c r="DB202" s="240"/>
      <c r="DC202" s="240"/>
      <c r="DD202" s="240"/>
      <c r="DE202" s="240"/>
      <c r="DF202" s="294"/>
      <c r="DG202" s="240"/>
      <c r="DH202" s="240"/>
      <c r="DI202" s="240"/>
      <c r="DJ202" s="240"/>
      <c r="DK202" s="240"/>
      <c r="DL202" s="240"/>
      <c r="DM202" s="240"/>
      <c r="DN202" s="240"/>
      <c r="DO202" s="240"/>
      <c r="DP202" s="240"/>
      <c r="DQ202" s="240"/>
      <c r="DR202" s="294"/>
      <c r="DS202" s="240"/>
      <c r="DT202" s="240"/>
      <c r="DU202" s="240"/>
      <c r="DV202" s="294"/>
      <c r="DW202" s="240"/>
      <c r="DX202" s="240"/>
      <c r="DY202" s="240"/>
      <c r="DZ202" s="240"/>
      <c r="EA202" s="240"/>
      <c r="EB202" s="240"/>
      <c r="EC202" s="240"/>
      <c r="ED202" s="240"/>
      <c r="EE202" s="240"/>
      <c r="EF202" s="294"/>
      <c r="EG202" s="240"/>
      <c r="EH202" s="240"/>
      <c r="EI202" s="240"/>
      <c r="EJ202" s="294"/>
      <c r="EK202" s="240"/>
      <c r="EL202" s="294"/>
      <c r="EM202" s="240"/>
      <c r="EN202" s="240"/>
      <c r="EO202" s="240"/>
      <c r="EP202" s="240"/>
      <c r="EQ202" s="240"/>
      <c r="ER202" s="240"/>
      <c r="ES202" s="240"/>
      <c r="ET202" s="240"/>
      <c r="EU202" s="240"/>
      <c r="EV202" s="240"/>
      <c r="EW202" s="240"/>
      <c r="EX202" s="294"/>
      <c r="EY202" s="240"/>
      <c r="EZ202" s="240"/>
      <c r="FA202" s="240"/>
      <c r="FB202" s="240"/>
      <c r="FC202" s="240"/>
      <c r="FD202" s="240"/>
      <c r="FE202" s="240"/>
      <c r="FF202" s="240"/>
      <c r="FG202" s="240"/>
      <c r="FH202" s="240"/>
      <c r="FI202" s="240"/>
      <c r="FJ202" s="240"/>
      <c r="FK202" s="240"/>
      <c r="FL202" s="240"/>
      <c r="FM202" s="240"/>
      <c r="FN202" s="240"/>
      <c r="FO202" s="294"/>
      <c r="FP202" s="240"/>
      <c r="FQ202" s="240" t="s">
        <v>890</v>
      </c>
      <c r="FR202" s="240" t="s">
        <v>890</v>
      </c>
      <c r="FS202" s="240" t="s">
        <v>890</v>
      </c>
      <c r="FT202" s="240"/>
      <c r="FU202" s="240" t="s">
        <v>890</v>
      </c>
      <c r="FV202" s="240" t="s">
        <v>890</v>
      </c>
      <c r="FW202" s="240" t="s">
        <v>890</v>
      </c>
      <c r="FX202" s="240"/>
      <c r="FY202" s="240"/>
      <c r="FZ202" s="294"/>
      <c r="GA202" s="240"/>
      <c r="GB202" s="240"/>
      <c r="GC202" s="294"/>
      <c r="GD202" s="240"/>
      <c r="GE202" s="240"/>
      <c r="GF202" s="240"/>
      <c r="GG202" s="240"/>
      <c r="GH202" s="294"/>
      <c r="GI202" s="240"/>
      <c r="GJ202" s="240"/>
      <c r="GK202" s="240"/>
      <c r="GL202" s="240"/>
      <c r="GM202" s="294"/>
      <c r="GN202" s="240"/>
      <c r="GO202" s="240"/>
      <c r="GP202" s="240"/>
      <c r="GQ202" s="240"/>
      <c r="GR202" s="240"/>
      <c r="GS202" s="240"/>
      <c r="GT202" s="240"/>
      <c r="GU202" s="240"/>
      <c r="GV202" s="240"/>
      <c r="GW202" s="240"/>
      <c r="GX202" s="240"/>
      <c r="GY202" s="240"/>
      <c r="GZ202" s="240"/>
      <c r="HA202" s="240"/>
      <c r="HB202" s="240"/>
      <c r="HC202" s="240"/>
      <c r="HD202" s="294"/>
      <c r="HE202" s="240"/>
      <c r="HF202" s="240"/>
      <c r="HG202" s="240"/>
      <c r="HH202" s="240"/>
      <c r="HI202" s="240"/>
      <c r="HJ202" s="294"/>
      <c r="HK202" s="240"/>
      <c r="HL202" s="294"/>
      <c r="HM202" s="241"/>
      <c r="HN202" s="235"/>
      <c r="HO202" s="235"/>
    </row>
    <row r="203" spans="2:225" hidden="1" outlineLevel="1">
      <c r="B203" s="275"/>
      <c r="C203" s="258" t="s">
        <v>116</v>
      </c>
      <c r="D203" s="236" t="s">
        <v>3291</v>
      </c>
      <c r="E203" s="248"/>
      <c r="F203" s="284" t="str">
        <f>IF(E203='3. Dropdowns'!C244,"","Submittals, Products, Execution")</f>
        <v>Submittals, Products, Execution</v>
      </c>
      <c r="G203" s="268"/>
      <c r="H203" s="309"/>
      <c r="I203" s="291" t="s">
        <v>890</v>
      </c>
      <c r="J203" s="292" t="s">
        <v>890</v>
      </c>
      <c r="K203" s="292"/>
      <c r="L203" s="292"/>
      <c r="M203" s="292"/>
      <c r="N203" s="292"/>
      <c r="O203" s="292"/>
      <c r="P203" s="292"/>
      <c r="Q203" s="292"/>
      <c r="R203" s="292"/>
      <c r="S203" s="292"/>
      <c r="T203" s="240" t="s">
        <v>890</v>
      </c>
      <c r="U203" s="240"/>
      <c r="V203" s="240"/>
      <c r="W203" s="240"/>
      <c r="X203" s="309"/>
      <c r="Y203" s="240"/>
      <c r="Z203" s="240"/>
      <c r="AA203" s="240"/>
      <c r="AB203" s="240"/>
      <c r="AC203" s="240"/>
      <c r="AD203" s="240"/>
      <c r="AE203" s="240"/>
      <c r="AF203" s="240"/>
      <c r="AG203" s="240"/>
      <c r="AH203" s="309"/>
      <c r="AI203" s="240"/>
      <c r="AJ203" s="240"/>
      <c r="AK203" s="240"/>
      <c r="AL203" s="240"/>
      <c r="AM203" s="309"/>
      <c r="AN203" s="240"/>
      <c r="AO203" s="240"/>
      <c r="AP203" s="240"/>
      <c r="AQ203" s="309"/>
      <c r="AR203" s="240"/>
      <c r="AS203" s="240"/>
      <c r="AT203" s="240"/>
      <c r="AU203" s="240"/>
      <c r="AV203" s="240"/>
      <c r="AW203" s="240"/>
      <c r="AX203" s="240"/>
      <c r="AY203" s="240"/>
      <c r="AZ203" s="309"/>
      <c r="BA203" s="240"/>
      <c r="BB203" s="240"/>
      <c r="BC203" s="240"/>
      <c r="BD203" s="240"/>
      <c r="BE203" s="240"/>
      <c r="BF203" s="240"/>
      <c r="BG203" s="240"/>
      <c r="BH203" s="240"/>
      <c r="BI203" s="240"/>
      <c r="BJ203" s="240"/>
      <c r="BK203" s="240"/>
      <c r="BL203" s="240"/>
      <c r="BM203" s="240"/>
      <c r="BN203" s="240"/>
      <c r="BO203" s="240"/>
      <c r="BP203" s="309"/>
      <c r="BQ203" s="240"/>
      <c r="BR203" s="240"/>
      <c r="BS203" s="240"/>
      <c r="BT203" s="240"/>
      <c r="BU203" s="240"/>
      <c r="BV203" s="240"/>
      <c r="BW203" s="240"/>
      <c r="BX203" s="240"/>
      <c r="BY203" s="240"/>
      <c r="BZ203" s="240"/>
      <c r="CA203" s="240"/>
      <c r="CB203" s="240"/>
      <c r="CC203" s="240"/>
      <c r="CD203" s="240"/>
      <c r="CE203" s="240"/>
      <c r="CF203" s="309"/>
      <c r="CG203" s="240"/>
      <c r="CH203" s="240"/>
      <c r="CI203" s="240"/>
      <c r="CJ203" s="240"/>
      <c r="CK203" s="240"/>
      <c r="CL203" s="240"/>
      <c r="CM203" s="240" t="s">
        <v>890</v>
      </c>
      <c r="CN203" s="240"/>
      <c r="CO203" s="240"/>
      <c r="CP203" s="240"/>
      <c r="CQ203" s="240"/>
      <c r="CR203" s="240"/>
      <c r="CS203" s="309"/>
      <c r="CT203" s="240"/>
      <c r="CU203" s="240"/>
      <c r="CV203" s="240"/>
      <c r="CW203" s="240"/>
      <c r="CX203" s="240"/>
      <c r="CY203" s="240"/>
      <c r="CZ203" s="240"/>
      <c r="DA203" s="240"/>
      <c r="DB203" s="240"/>
      <c r="DC203" s="240"/>
      <c r="DD203" s="240"/>
      <c r="DE203" s="240"/>
      <c r="DF203" s="309"/>
      <c r="DG203" s="240"/>
      <c r="DH203" s="240"/>
      <c r="DI203" s="240"/>
      <c r="DJ203" s="240"/>
      <c r="DK203" s="240"/>
      <c r="DL203" s="240"/>
      <c r="DM203" s="240" t="s">
        <v>890</v>
      </c>
      <c r="DN203" s="240"/>
      <c r="DO203" s="240" t="s">
        <v>890</v>
      </c>
      <c r="DP203" s="240"/>
      <c r="DQ203" s="240" t="s">
        <v>890</v>
      </c>
      <c r="DR203" s="309"/>
      <c r="DS203" s="240"/>
      <c r="DT203" s="240"/>
      <c r="DU203" s="240"/>
      <c r="DV203" s="309"/>
      <c r="DW203" s="240"/>
      <c r="DX203" s="240"/>
      <c r="DY203" s="240" t="s">
        <v>890</v>
      </c>
      <c r="DZ203" s="240"/>
      <c r="EA203" s="240"/>
      <c r="EB203" s="240"/>
      <c r="EC203" s="240"/>
      <c r="ED203" s="240"/>
      <c r="EE203" s="240"/>
      <c r="EF203" s="309"/>
      <c r="EG203" s="240"/>
      <c r="EH203" s="240"/>
      <c r="EI203" s="240"/>
      <c r="EJ203" s="309"/>
      <c r="EK203" s="240"/>
      <c r="EL203" s="309"/>
      <c r="EM203" s="240"/>
      <c r="EN203" s="240"/>
      <c r="EO203" s="240"/>
      <c r="EP203" s="240"/>
      <c r="EQ203" s="240"/>
      <c r="ER203" s="240"/>
      <c r="ES203" s="240"/>
      <c r="ET203" s="240"/>
      <c r="EU203" s="240"/>
      <c r="EV203" s="240"/>
      <c r="EW203" s="240"/>
      <c r="EX203" s="309"/>
      <c r="EY203" s="240"/>
      <c r="EZ203" s="240"/>
      <c r="FA203" s="240"/>
      <c r="FB203" s="240"/>
      <c r="FC203" s="240"/>
      <c r="FD203" s="240"/>
      <c r="FE203" s="240"/>
      <c r="FF203" s="240"/>
      <c r="FG203" s="240"/>
      <c r="FH203" s="240"/>
      <c r="FI203" s="240"/>
      <c r="FJ203" s="240"/>
      <c r="FK203" s="240"/>
      <c r="FL203" s="240"/>
      <c r="FM203" s="240"/>
      <c r="FN203" s="240"/>
      <c r="FO203" s="309"/>
      <c r="FP203" s="240"/>
      <c r="FQ203" s="240"/>
      <c r="FR203" s="240"/>
      <c r="FS203" s="240"/>
      <c r="FT203" s="240"/>
      <c r="FU203" s="240"/>
      <c r="FV203" s="240"/>
      <c r="FW203" s="240"/>
      <c r="FX203" s="240"/>
      <c r="FY203" s="240"/>
      <c r="FZ203" s="309"/>
      <c r="GA203" s="240"/>
      <c r="GB203" s="240"/>
      <c r="GC203" s="309"/>
      <c r="GD203" s="240"/>
      <c r="GE203" s="240"/>
      <c r="GF203" s="240"/>
      <c r="GG203" s="240"/>
      <c r="GH203" s="309"/>
      <c r="GI203" s="240"/>
      <c r="GJ203" s="240"/>
      <c r="GK203" s="240"/>
      <c r="GL203" s="240"/>
      <c r="GM203" s="309"/>
      <c r="GN203" s="240"/>
      <c r="GO203" s="240"/>
      <c r="GP203" s="240"/>
      <c r="GQ203" s="240"/>
      <c r="GR203" s="240"/>
      <c r="GS203" s="240"/>
      <c r="GT203" s="240"/>
      <c r="GU203" s="240"/>
      <c r="GV203" s="240"/>
      <c r="GW203" s="240"/>
      <c r="GX203" s="240"/>
      <c r="GY203" s="240"/>
      <c r="GZ203" s="240"/>
      <c r="HA203" s="240"/>
      <c r="HB203" s="240"/>
      <c r="HC203" s="240"/>
      <c r="HD203" s="309"/>
      <c r="HE203" s="240"/>
      <c r="HF203" s="240"/>
      <c r="HG203" s="240"/>
      <c r="HH203" s="240"/>
      <c r="HI203" s="240"/>
      <c r="HJ203" s="309"/>
      <c r="HK203" s="240"/>
      <c r="HL203" s="309"/>
      <c r="HM203" s="241"/>
      <c r="HN203" s="235"/>
      <c r="HO203" s="235"/>
    </row>
    <row r="204" spans="2:225" collapsed="1">
      <c r="B204" s="275"/>
      <c r="C204" s="258" t="s">
        <v>116</v>
      </c>
      <c r="D204" s="220" t="s">
        <v>109</v>
      </c>
      <c r="E204" s="221"/>
      <c r="F204" s="286"/>
      <c r="G204" s="222"/>
      <c r="H204" s="224"/>
      <c r="I204" s="224"/>
      <c r="J204" s="224"/>
      <c r="K204" s="224"/>
      <c r="L204" s="224"/>
      <c r="M204" s="224"/>
      <c r="N204" s="224"/>
      <c r="O204" s="224"/>
      <c r="P204" s="224"/>
      <c r="Q204" s="224"/>
      <c r="R204" s="224"/>
      <c r="S204" s="224"/>
      <c r="T204" s="224"/>
      <c r="U204" s="224"/>
      <c r="V204" s="224"/>
      <c r="W204" s="224"/>
      <c r="X204" s="224"/>
      <c r="Y204" s="224"/>
      <c r="Z204" s="224"/>
      <c r="AA204" s="224"/>
      <c r="AB204" s="224"/>
      <c r="AC204" s="224"/>
      <c r="AD204" s="224"/>
      <c r="AE204" s="224"/>
      <c r="AF204" s="224"/>
      <c r="AG204" s="224"/>
      <c r="AH204" s="224"/>
      <c r="AI204" s="224"/>
      <c r="AJ204" s="224"/>
      <c r="AK204" s="224"/>
      <c r="AL204" s="224"/>
      <c r="AM204" s="224"/>
      <c r="AN204" s="224"/>
      <c r="AO204" s="224"/>
      <c r="AP204" s="224"/>
      <c r="AQ204" s="224"/>
      <c r="AR204" s="224"/>
      <c r="AS204" s="224"/>
      <c r="AT204" s="224"/>
      <c r="AU204" s="224"/>
      <c r="AV204" s="224"/>
      <c r="AW204" s="224"/>
      <c r="AX204" s="224"/>
      <c r="AY204" s="224"/>
      <c r="AZ204" s="224"/>
      <c r="BA204" s="224"/>
      <c r="BB204" s="224"/>
      <c r="BC204" s="224"/>
      <c r="BD204" s="224"/>
      <c r="BE204" s="224"/>
      <c r="BF204" s="224"/>
      <c r="BG204" s="224"/>
      <c r="BH204" s="224"/>
      <c r="BI204" s="224"/>
      <c r="BJ204" s="224"/>
      <c r="BK204" s="224"/>
      <c r="BL204" s="224"/>
      <c r="BM204" s="224"/>
      <c r="BN204" s="224"/>
      <c r="BO204" s="224"/>
      <c r="BP204" s="224"/>
      <c r="BQ204" s="224"/>
      <c r="BR204" s="224"/>
      <c r="BS204" s="224"/>
      <c r="BT204" s="224"/>
      <c r="BU204" s="224"/>
      <c r="BV204" s="224"/>
      <c r="BW204" s="224"/>
      <c r="BX204" s="224"/>
      <c r="BY204" s="224"/>
      <c r="BZ204" s="224"/>
      <c r="CA204" s="224"/>
      <c r="CB204" s="224"/>
      <c r="CC204" s="224"/>
      <c r="CD204" s="224"/>
      <c r="CE204" s="224"/>
      <c r="CF204" s="224"/>
      <c r="CG204" s="224"/>
      <c r="CH204" s="224"/>
      <c r="CI204" s="224"/>
      <c r="CJ204" s="224"/>
      <c r="CK204" s="224"/>
      <c r="CL204" s="224"/>
      <c r="CM204" s="224"/>
      <c r="CN204" s="224"/>
      <c r="CO204" s="224"/>
      <c r="CP204" s="224"/>
      <c r="CQ204" s="224"/>
      <c r="CR204" s="224"/>
      <c r="CS204" s="224"/>
      <c r="CT204" s="224"/>
      <c r="CU204" s="224"/>
      <c r="CV204" s="224"/>
      <c r="CW204" s="224"/>
      <c r="CX204" s="224"/>
      <c r="CY204" s="224"/>
      <c r="CZ204" s="224"/>
      <c r="DA204" s="224"/>
      <c r="DB204" s="224"/>
      <c r="DC204" s="224"/>
      <c r="DD204" s="224"/>
      <c r="DE204" s="224"/>
      <c r="DF204" s="224"/>
      <c r="DG204" s="224"/>
      <c r="DH204" s="224"/>
      <c r="DI204" s="224"/>
      <c r="DJ204" s="224"/>
      <c r="DK204" s="224"/>
      <c r="DL204" s="224"/>
      <c r="DM204" s="224"/>
      <c r="DN204" s="224"/>
      <c r="DO204" s="224"/>
      <c r="DP204" s="224"/>
      <c r="DQ204" s="224"/>
      <c r="DR204" s="224"/>
      <c r="DS204" s="224"/>
      <c r="DT204" s="224"/>
      <c r="DU204" s="224"/>
      <c r="DV204" s="224"/>
      <c r="DW204" s="224"/>
      <c r="DX204" s="224"/>
      <c r="DY204" s="224"/>
      <c r="DZ204" s="224"/>
      <c r="EA204" s="224"/>
      <c r="EB204" s="224"/>
      <c r="EC204" s="224"/>
      <c r="ED204" s="224"/>
      <c r="EE204" s="224"/>
      <c r="EF204" s="224"/>
      <c r="EG204" s="224"/>
      <c r="EH204" s="224"/>
      <c r="EI204" s="224"/>
      <c r="EJ204" s="224"/>
      <c r="EK204" s="224"/>
      <c r="EL204" s="224"/>
      <c r="EM204" s="224"/>
      <c r="EN204" s="224"/>
      <c r="EO204" s="224"/>
      <c r="EP204" s="224"/>
      <c r="EQ204" s="224"/>
      <c r="ER204" s="224"/>
      <c r="ES204" s="224"/>
      <c r="ET204" s="224"/>
      <c r="EU204" s="224"/>
      <c r="EV204" s="224"/>
      <c r="EW204" s="224"/>
      <c r="EX204" s="224"/>
      <c r="EY204" s="224"/>
      <c r="EZ204" s="224"/>
      <c r="FA204" s="224"/>
      <c r="FB204" s="224"/>
      <c r="FC204" s="224"/>
      <c r="FD204" s="224"/>
      <c r="FE204" s="224"/>
      <c r="FF204" s="224"/>
      <c r="FG204" s="224"/>
      <c r="FH204" s="224"/>
      <c r="FI204" s="224"/>
      <c r="FJ204" s="224"/>
      <c r="FK204" s="224"/>
      <c r="FL204" s="224"/>
      <c r="FM204" s="224"/>
      <c r="FN204" s="224"/>
      <c r="FO204" s="224"/>
      <c r="FP204" s="224"/>
      <c r="FQ204" s="224"/>
      <c r="FR204" s="224"/>
      <c r="FS204" s="224"/>
      <c r="FT204" s="224"/>
      <c r="FU204" s="224"/>
      <c r="FV204" s="224"/>
      <c r="FW204" s="224"/>
      <c r="FX204" s="224"/>
      <c r="FY204" s="224"/>
      <c r="FZ204" s="224"/>
      <c r="GA204" s="224"/>
      <c r="GB204" s="224"/>
      <c r="GC204" s="224"/>
      <c r="GD204" s="224"/>
      <c r="GE204" s="224"/>
      <c r="GF204" s="224"/>
      <c r="GG204" s="224"/>
      <c r="GH204" s="224"/>
      <c r="GI204" s="224"/>
      <c r="GJ204" s="224"/>
      <c r="GK204" s="224"/>
      <c r="GL204" s="224"/>
      <c r="GM204" s="224"/>
      <c r="GN204" s="224"/>
      <c r="GO204" s="224"/>
      <c r="GP204" s="224"/>
      <c r="GQ204" s="224"/>
      <c r="GR204" s="224"/>
      <c r="GS204" s="224"/>
      <c r="GT204" s="224"/>
      <c r="GU204" s="224"/>
      <c r="GV204" s="224"/>
      <c r="GW204" s="224"/>
      <c r="GX204" s="224"/>
      <c r="GY204" s="224"/>
      <c r="GZ204" s="224"/>
      <c r="HA204" s="224"/>
      <c r="HB204" s="224"/>
      <c r="HC204" s="224"/>
      <c r="HD204" s="224"/>
      <c r="HE204" s="224"/>
      <c r="HF204" s="224"/>
      <c r="HG204" s="224"/>
      <c r="HH204" s="224"/>
      <c r="HI204" s="224"/>
      <c r="HJ204" s="224"/>
      <c r="HK204" s="224"/>
      <c r="HL204" s="224"/>
      <c r="HM204" s="265"/>
      <c r="HN204" s="235"/>
      <c r="HO204" s="235"/>
      <c r="HP204" s="235"/>
      <c r="HQ204" s="235"/>
    </row>
    <row r="205" spans="2:225" hidden="1" outlineLevel="1">
      <c r="B205" s="275"/>
      <c r="C205" s="258" t="s">
        <v>116</v>
      </c>
      <c r="D205" s="310" t="s">
        <v>3292</v>
      </c>
      <c r="E205" s="311"/>
      <c r="F205" s="305" t="str">
        <f>IF(E205='3. Dropdowns'!C248,"","Products")</f>
        <v>Products</v>
      </c>
      <c r="G205" s="268"/>
      <c r="H205" s="238"/>
      <c r="I205" s="240" t="s">
        <v>890</v>
      </c>
      <c r="J205" s="240" t="s">
        <v>890</v>
      </c>
      <c r="K205" s="240"/>
      <c r="L205" s="240"/>
      <c r="M205" s="240"/>
      <c r="N205" s="240"/>
      <c r="O205" s="240"/>
      <c r="P205" s="240"/>
      <c r="Q205" s="240"/>
      <c r="R205" s="240"/>
      <c r="S205" s="240"/>
      <c r="T205" s="240" t="s">
        <v>890</v>
      </c>
      <c r="U205" s="240"/>
      <c r="V205" s="240"/>
      <c r="W205" s="240"/>
      <c r="X205" s="238"/>
      <c r="Y205" s="240"/>
      <c r="Z205" s="240"/>
      <c r="AA205" s="240"/>
      <c r="AB205" s="240"/>
      <c r="AC205" s="240"/>
      <c r="AD205" s="240"/>
      <c r="AE205" s="240"/>
      <c r="AF205" s="240"/>
      <c r="AG205" s="240"/>
      <c r="AH205" s="238"/>
      <c r="AI205" s="240"/>
      <c r="AJ205" s="240" t="s">
        <v>890</v>
      </c>
      <c r="AK205" s="240" t="s">
        <v>890</v>
      </c>
      <c r="AL205" s="240" t="s">
        <v>890</v>
      </c>
      <c r="AM205" s="238"/>
      <c r="AN205" s="240"/>
      <c r="AO205" s="240"/>
      <c r="AP205" s="240" t="s">
        <v>890</v>
      </c>
      <c r="AQ205" s="238"/>
      <c r="AR205" s="240"/>
      <c r="AS205" s="240"/>
      <c r="AT205" s="240" t="s">
        <v>890</v>
      </c>
      <c r="AU205" s="240"/>
      <c r="AV205" s="240" t="s">
        <v>890</v>
      </c>
      <c r="AW205" s="240"/>
      <c r="AX205" s="240"/>
      <c r="AY205" s="240"/>
      <c r="AZ205" s="238"/>
      <c r="BA205" s="240"/>
      <c r="BB205" s="240"/>
      <c r="BC205" s="240"/>
      <c r="BD205" s="240" t="s">
        <v>890</v>
      </c>
      <c r="BE205" s="240" t="s">
        <v>890</v>
      </c>
      <c r="BF205" s="240"/>
      <c r="BG205" s="240" t="s">
        <v>890</v>
      </c>
      <c r="BH205" s="240" t="s">
        <v>890</v>
      </c>
      <c r="BI205" s="240"/>
      <c r="BJ205" s="240"/>
      <c r="BK205" s="240" t="s">
        <v>890</v>
      </c>
      <c r="BL205" s="240"/>
      <c r="BM205" s="240"/>
      <c r="BN205" s="240"/>
      <c r="BO205" s="240" t="s">
        <v>890</v>
      </c>
      <c r="BP205" s="312"/>
      <c r="BQ205" s="240"/>
      <c r="BR205" s="240" t="s">
        <v>890</v>
      </c>
      <c r="BS205" s="240" t="s">
        <v>890</v>
      </c>
      <c r="BT205" s="240"/>
      <c r="BU205" s="240"/>
      <c r="BV205" s="240"/>
      <c r="BW205" s="240"/>
      <c r="BX205" s="240"/>
      <c r="BY205" s="240"/>
      <c r="BZ205" s="240" t="s">
        <v>890</v>
      </c>
      <c r="CA205" s="240"/>
      <c r="CB205" s="240"/>
      <c r="CC205" s="240"/>
      <c r="CD205" s="240"/>
      <c r="CE205" s="240"/>
      <c r="CF205" s="312"/>
      <c r="CG205" s="240"/>
      <c r="CH205" s="240"/>
      <c r="CI205" s="240"/>
      <c r="CJ205" s="240"/>
      <c r="CK205" s="240"/>
      <c r="CL205" s="240"/>
      <c r="CM205" s="240"/>
      <c r="CN205" s="240"/>
      <c r="CO205" s="240"/>
      <c r="CP205" s="240"/>
      <c r="CQ205" s="240"/>
      <c r="CR205" s="240"/>
      <c r="CS205" s="312"/>
      <c r="CT205" s="240" t="s">
        <v>890</v>
      </c>
      <c r="CU205" s="240"/>
      <c r="CV205" s="240"/>
      <c r="CW205" s="240" t="s">
        <v>890</v>
      </c>
      <c r="CX205" s="240" t="s">
        <v>890</v>
      </c>
      <c r="CY205" s="240"/>
      <c r="CZ205" s="240"/>
      <c r="DA205" s="240"/>
      <c r="DB205" s="240"/>
      <c r="DC205" s="240"/>
      <c r="DD205" s="240" t="s">
        <v>890</v>
      </c>
      <c r="DE205" s="240"/>
      <c r="DF205" s="312"/>
      <c r="DG205" s="240"/>
      <c r="DH205" s="240"/>
      <c r="DI205" s="240"/>
      <c r="DJ205" s="240"/>
      <c r="DK205" s="240"/>
      <c r="DL205" s="240"/>
      <c r="DM205" s="240"/>
      <c r="DN205" s="240"/>
      <c r="DO205" s="240"/>
      <c r="DP205" s="240"/>
      <c r="DQ205" s="240"/>
      <c r="DR205" s="312"/>
      <c r="DS205" s="240"/>
      <c r="DT205" s="240"/>
      <c r="DU205" s="240"/>
      <c r="DV205" s="312"/>
      <c r="DW205" s="240"/>
      <c r="DX205" s="240"/>
      <c r="DY205" s="240"/>
      <c r="DZ205" s="240"/>
      <c r="EA205" s="240"/>
      <c r="EB205" s="240"/>
      <c r="EC205" s="240"/>
      <c r="ED205" s="240"/>
      <c r="EE205" s="240"/>
      <c r="EF205" s="312"/>
      <c r="EG205" s="240"/>
      <c r="EH205" s="240"/>
      <c r="EI205" s="240"/>
      <c r="EJ205" s="312"/>
      <c r="EK205" s="240"/>
      <c r="EL205" s="312"/>
      <c r="EM205" s="240"/>
      <c r="EN205" s="240"/>
      <c r="EO205" s="240"/>
      <c r="EP205" s="240"/>
      <c r="EQ205" s="240"/>
      <c r="ER205" s="240"/>
      <c r="ES205" s="240"/>
      <c r="ET205" s="240"/>
      <c r="EU205" s="240"/>
      <c r="EV205" s="240"/>
      <c r="EW205" s="240"/>
      <c r="EX205" s="312"/>
      <c r="EY205" s="240"/>
      <c r="EZ205" s="240"/>
      <c r="FA205" s="240"/>
      <c r="FB205" s="240"/>
      <c r="FC205" s="240"/>
      <c r="FD205" s="240"/>
      <c r="FE205" s="240"/>
      <c r="FF205" s="240"/>
      <c r="FG205" s="240"/>
      <c r="FH205" s="240"/>
      <c r="FI205" s="240"/>
      <c r="FJ205" s="240"/>
      <c r="FK205" s="240"/>
      <c r="FL205" s="240"/>
      <c r="FM205" s="240"/>
      <c r="FN205" s="240"/>
      <c r="FO205" s="312"/>
      <c r="FP205" s="240"/>
      <c r="FQ205" s="240"/>
      <c r="FR205" s="240"/>
      <c r="FS205" s="240"/>
      <c r="FT205" s="240"/>
      <c r="FU205" s="240"/>
      <c r="FV205" s="240"/>
      <c r="FW205" s="240"/>
      <c r="FX205" s="240"/>
      <c r="FY205" s="240"/>
      <c r="FZ205" s="312"/>
      <c r="GA205" s="240"/>
      <c r="GB205" s="240"/>
      <c r="GC205" s="312"/>
      <c r="GD205" s="240"/>
      <c r="GE205" s="240"/>
      <c r="GF205" s="240"/>
      <c r="GG205" s="240"/>
      <c r="GH205" s="312"/>
      <c r="GI205" s="240"/>
      <c r="GJ205" s="240"/>
      <c r="GK205" s="240"/>
      <c r="GL205" s="240"/>
      <c r="GM205" s="312"/>
      <c r="GN205" s="240"/>
      <c r="GO205" s="240"/>
      <c r="GP205" s="240"/>
      <c r="GQ205" s="240"/>
      <c r="GR205" s="240"/>
      <c r="GS205" s="240"/>
      <c r="GT205" s="240"/>
      <c r="GU205" s="240"/>
      <c r="GV205" s="240"/>
      <c r="GW205" s="240"/>
      <c r="GX205" s="240"/>
      <c r="GY205" s="240"/>
      <c r="GZ205" s="240"/>
      <c r="HA205" s="240"/>
      <c r="HB205" s="240"/>
      <c r="HC205" s="240"/>
      <c r="HD205" s="312"/>
      <c r="HE205" s="240"/>
      <c r="HF205" s="240"/>
      <c r="HG205" s="240"/>
      <c r="HH205" s="240"/>
      <c r="HI205" s="240"/>
      <c r="HJ205" s="312"/>
      <c r="HK205" s="240"/>
      <c r="HL205" s="312"/>
      <c r="HM205" s="241"/>
      <c r="HN205" s="235"/>
      <c r="HO205" s="235"/>
      <c r="HP205" s="235"/>
      <c r="HQ205" s="235"/>
    </row>
    <row r="206" spans="2:225" hidden="1" outlineLevel="1">
      <c r="B206" s="275"/>
      <c r="C206" s="258" t="s">
        <v>116</v>
      </c>
      <c r="D206" s="282" t="s">
        <v>110</v>
      </c>
      <c r="E206" s="222"/>
      <c r="F206" s="222"/>
      <c r="G206" s="222"/>
      <c r="H206" s="224"/>
      <c r="I206" s="224"/>
      <c r="J206" s="224"/>
      <c r="K206" s="224"/>
      <c r="L206" s="224"/>
      <c r="M206" s="224"/>
      <c r="N206" s="224"/>
      <c r="O206" s="224"/>
      <c r="P206" s="224"/>
      <c r="Q206" s="224"/>
      <c r="R206" s="224"/>
      <c r="S206" s="224"/>
      <c r="T206" s="224"/>
      <c r="U206" s="224"/>
      <c r="V206" s="224"/>
      <c r="W206" s="224"/>
      <c r="X206" s="224"/>
      <c r="Y206" s="224"/>
      <c r="Z206" s="224"/>
      <c r="AA206" s="224"/>
      <c r="AB206" s="224"/>
      <c r="AC206" s="224"/>
      <c r="AD206" s="224"/>
      <c r="AE206" s="224"/>
      <c r="AF206" s="224"/>
      <c r="AG206" s="224"/>
      <c r="AH206" s="224"/>
      <c r="AI206" s="224"/>
      <c r="AJ206" s="224"/>
      <c r="AK206" s="224"/>
      <c r="AL206" s="224"/>
      <c r="AM206" s="224"/>
      <c r="AN206" s="224"/>
      <c r="AO206" s="224"/>
      <c r="AP206" s="224"/>
      <c r="AQ206" s="224"/>
      <c r="AR206" s="224"/>
      <c r="AS206" s="224"/>
      <c r="AT206" s="224"/>
      <c r="AU206" s="224"/>
      <c r="AV206" s="224"/>
      <c r="AW206" s="224"/>
      <c r="AX206" s="224"/>
      <c r="AY206" s="224"/>
      <c r="AZ206" s="224"/>
      <c r="BA206" s="224"/>
      <c r="BB206" s="224"/>
      <c r="BC206" s="224"/>
      <c r="BD206" s="224"/>
      <c r="BE206" s="224"/>
      <c r="BF206" s="224"/>
      <c r="BG206" s="224"/>
      <c r="BH206" s="224"/>
      <c r="BI206" s="224"/>
      <c r="BJ206" s="224"/>
      <c r="BK206" s="224"/>
      <c r="BL206" s="224"/>
      <c r="BM206" s="224"/>
      <c r="BN206" s="224"/>
      <c r="BO206" s="224"/>
      <c r="BP206" s="224"/>
      <c r="BQ206" s="224"/>
      <c r="BR206" s="224"/>
      <c r="BS206" s="224"/>
      <c r="BT206" s="224"/>
      <c r="BU206" s="224"/>
      <c r="BV206" s="224"/>
      <c r="BW206" s="224"/>
      <c r="BX206" s="224"/>
      <c r="BY206" s="224"/>
      <c r="BZ206" s="224"/>
      <c r="CA206" s="224"/>
      <c r="CB206" s="224"/>
      <c r="CC206" s="224"/>
      <c r="CD206" s="224"/>
      <c r="CE206" s="224"/>
      <c r="CF206" s="224"/>
      <c r="CG206" s="224"/>
      <c r="CH206" s="224"/>
      <c r="CI206" s="224"/>
      <c r="CJ206" s="224"/>
      <c r="CK206" s="224"/>
      <c r="CL206" s="224"/>
      <c r="CM206" s="224"/>
      <c r="CN206" s="224"/>
      <c r="CO206" s="224"/>
      <c r="CP206" s="224"/>
      <c r="CQ206" s="224"/>
      <c r="CR206" s="224"/>
      <c r="CS206" s="224"/>
      <c r="CT206" s="224"/>
      <c r="CU206" s="224"/>
      <c r="CV206" s="224"/>
      <c r="CW206" s="224"/>
      <c r="CX206" s="224"/>
      <c r="CY206" s="224"/>
      <c r="CZ206" s="224"/>
      <c r="DA206" s="224"/>
      <c r="DB206" s="224"/>
      <c r="DC206" s="224"/>
      <c r="DD206" s="224"/>
      <c r="DE206" s="224"/>
      <c r="DF206" s="224"/>
      <c r="DG206" s="224"/>
      <c r="DH206" s="224"/>
      <c r="DI206" s="224"/>
      <c r="DJ206" s="224"/>
      <c r="DK206" s="224"/>
      <c r="DL206" s="224"/>
      <c r="DM206" s="224"/>
      <c r="DN206" s="224"/>
      <c r="DO206" s="224"/>
      <c r="DP206" s="224"/>
      <c r="DQ206" s="224"/>
      <c r="DR206" s="224"/>
      <c r="DS206" s="224"/>
      <c r="DT206" s="224"/>
      <c r="DU206" s="224"/>
      <c r="DV206" s="224"/>
      <c r="DW206" s="224"/>
      <c r="DX206" s="224"/>
      <c r="DY206" s="224"/>
      <c r="DZ206" s="224"/>
      <c r="EA206" s="224"/>
      <c r="EB206" s="224"/>
      <c r="EC206" s="224"/>
      <c r="ED206" s="224"/>
      <c r="EE206" s="224"/>
      <c r="EF206" s="224"/>
      <c r="EG206" s="224"/>
      <c r="EH206" s="224"/>
      <c r="EI206" s="224"/>
      <c r="EJ206" s="224"/>
      <c r="EK206" s="224"/>
      <c r="EL206" s="224"/>
      <c r="EM206" s="224"/>
      <c r="EN206" s="224"/>
      <c r="EO206" s="224"/>
      <c r="EP206" s="224"/>
      <c r="EQ206" s="224"/>
      <c r="ER206" s="224"/>
      <c r="ES206" s="224"/>
      <c r="ET206" s="224"/>
      <c r="EU206" s="224"/>
      <c r="EV206" s="224"/>
      <c r="EW206" s="224"/>
      <c r="EX206" s="224"/>
      <c r="EY206" s="224"/>
      <c r="EZ206" s="224"/>
      <c r="FA206" s="224"/>
      <c r="FB206" s="224"/>
      <c r="FC206" s="224"/>
      <c r="FD206" s="224"/>
      <c r="FE206" s="224"/>
      <c r="FF206" s="224"/>
      <c r="FG206" s="224"/>
      <c r="FH206" s="224"/>
      <c r="FI206" s="224"/>
      <c r="FJ206" s="224"/>
      <c r="FK206" s="224"/>
      <c r="FL206" s="224"/>
      <c r="FM206" s="224"/>
      <c r="FN206" s="224"/>
      <c r="FO206" s="224"/>
      <c r="FP206" s="224"/>
      <c r="FQ206" s="224"/>
      <c r="FR206" s="224"/>
      <c r="FS206" s="224"/>
      <c r="FT206" s="224"/>
      <c r="FU206" s="224"/>
      <c r="FV206" s="224"/>
      <c r="FW206" s="224"/>
      <c r="FX206" s="224"/>
      <c r="FY206" s="224"/>
      <c r="FZ206" s="224"/>
      <c r="GA206" s="224"/>
      <c r="GB206" s="224"/>
      <c r="GC206" s="224"/>
      <c r="GD206" s="224"/>
      <c r="GE206" s="224"/>
      <c r="GF206" s="224"/>
      <c r="GG206" s="224"/>
      <c r="GH206" s="224"/>
      <c r="GI206" s="224"/>
      <c r="GJ206" s="224"/>
      <c r="GK206" s="224"/>
      <c r="GL206" s="224"/>
      <c r="GM206" s="224"/>
      <c r="GN206" s="224"/>
      <c r="GO206" s="224"/>
      <c r="GP206" s="224"/>
      <c r="GQ206" s="224"/>
      <c r="GR206" s="224"/>
      <c r="GS206" s="224"/>
      <c r="GT206" s="224"/>
      <c r="GU206" s="224"/>
      <c r="GV206" s="224"/>
      <c r="GW206" s="224"/>
      <c r="GX206" s="224"/>
      <c r="GY206" s="224"/>
      <c r="GZ206" s="224"/>
      <c r="HA206" s="224"/>
      <c r="HB206" s="224"/>
      <c r="HC206" s="224"/>
      <c r="HD206" s="224"/>
      <c r="HE206" s="224"/>
      <c r="HF206" s="224"/>
      <c r="HG206" s="224"/>
      <c r="HH206" s="224"/>
      <c r="HI206" s="224"/>
      <c r="HJ206" s="224"/>
      <c r="HK206" s="224"/>
      <c r="HL206" s="224"/>
      <c r="HM206" s="265"/>
      <c r="HN206" s="235"/>
      <c r="HO206" s="235"/>
      <c r="HP206" s="235"/>
      <c r="HQ206" s="235"/>
    </row>
    <row r="207" spans="2:225" ht="37.5" hidden="1" outlineLevel="2">
      <c r="B207" s="275"/>
      <c r="C207" s="258" t="s">
        <v>116</v>
      </c>
      <c r="D207" s="228" t="s">
        <v>3393</v>
      </c>
      <c r="E207" s="313"/>
      <c r="F207" s="314" t="str">
        <f>IF(E207='3. Dropdowns'!C252,"","Submittals, Execution")</f>
        <v>Submittals, Execution</v>
      </c>
      <c r="G207" s="268"/>
      <c r="H207" s="238"/>
      <c r="I207" s="291"/>
      <c r="J207" s="292"/>
      <c r="K207" s="292"/>
      <c r="L207" s="292"/>
      <c r="M207" s="292"/>
      <c r="N207" s="292"/>
      <c r="O207" s="292"/>
      <c r="P207" s="292"/>
      <c r="Q207" s="292"/>
      <c r="R207" s="292"/>
      <c r="S207" s="292"/>
      <c r="T207" s="240" t="s">
        <v>890</v>
      </c>
      <c r="U207" s="240"/>
      <c r="V207" s="240"/>
      <c r="W207" s="240"/>
      <c r="X207" s="238"/>
      <c r="Y207" s="240"/>
      <c r="Z207" s="240"/>
      <c r="AA207" s="240"/>
      <c r="AB207" s="240"/>
      <c r="AC207" s="240"/>
      <c r="AD207" s="240"/>
      <c r="AE207" s="240"/>
      <c r="AF207" s="240"/>
      <c r="AG207" s="240"/>
      <c r="AH207" s="238"/>
      <c r="AI207" s="240"/>
      <c r="AJ207" s="240" t="s">
        <v>890</v>
      </c>
      <c r="AK207" s="240" t="s">
        <v>890</v>
      </c>
      <c r="AL207" s="240" t="s">
        <v>890</v>
      </c>
      <c r="AM207" s="238"/>
      <c r="AN207" s="240"/>
      <c r="AO207" s="240"/>
      <c r="AP207" s="240"/>
      <c r="AQ207" s="238"/>
      <c r="AR207" s="240" t="s">
        <v>890</v>
      </c>
      <c r="AS207" s="240"/>
      <c r="AT207" s="240"/>
      <c r="AU207" s="240"/>
      <c r="AV207" s="240"/>
      <c r="AW207" s="240"/>
      <c r="AX207" s="240"/>
      <c r="AY207" s="240"/>
      <c r="AZ207" s="238"/>
      <c r="BA207" s="240"/>
      <c r="BB207" s="240"/>
      <c r="BC207" s="240"/>
      <c r="BD207" s="240"/>
      <c r="BE207" s="240" t="s">
        <v>890</v>
      </c>
      <c r="BF207" s="240"/>
      <c r="BG207" s="240"/>
      <c r="BH207" s="240"/>
      <c r="BI207" s="240"/>
      <c r="BJ207" s="240"/>
      <c r="BK207" s="240"/>
      <c r="BL207" s="240"/>
      <c r="BM207" s="240"/>
      <c r="BN207" s="240"/>
      <c r="BO207" s="240"/>
      <c r="BP207" s="290"/>
      <c r="BQ207" s="240"/>
      <c r="BR207" s="240"/>
      <c r="BS207" s="240"/>
      <c r="BT207" s="240"/>
      <c r="BU207" s="240"/>
      <c r="BV207" s="240"/>
      <c r="BW207" s="240"/>
      <c r="BX207" s="240"/>
      <c r="BY207" s="240"/>
      <c r="BZ207" s="240"/>
      <c r="CA207" s="240"/>
      <c r="CB207" s="240"/>
      <c r="CC207" s="240"/>
      <c r="CD207" s="240"/>
      <c r="CE207" s="240"/>
      <c r="CF207" s="290"/>
      <c r="CG207" s="240"/>
      <c r="CH207" s="240"/>
      <c r="CI207" s="240"/>
      <c r="CJ207" s="240"/>
      <c r="CK207" s="240"/>
      <c r="CL207" s="240"/>
      <c r="CM207" s="240"/>
      <c r="CN207" s="240"/>
      <c r="CO207" s="240"/>
      <c r="CP207" s="240"/>
      <c r="CQ207" s="240"/>
      <c r="CR207" s="240"/>
      <c r="CS207" s="290"/>
      <c r="CT207" s="240"/>
      <c r="CU207" s="240"/>
      <c r="CV207" s="240"/>
      <c r="CW207" s="240"/>
      <c r="CX207" s="240"/>
      <c r="CY207" s="240"/>
      <c r="CZ207" s="240"/>
      <c r="DA207" s="240"/>
      <c r="DB207" s="240"/>
      <c r="DC207" s="240"/>
      <c r="DD207" s="240"/>
      <c r="DE207" s="240"/>
      <c r="DF207" s="290"/>
      <c r="DG207" s="240"/>
      <c r="DH207" s="240"/>
      <c r="DI207" s="240"/>
      <c r="DJ207" s="240"/>
      <c r="DK207" s="240"/>
      <c r="DL207" s="240"/>
      <c r="DM207" s="240"/>
      <c r="DN207" s="240"/>
      <c r="DO207" s="240"/>
      <c r="DP207" s="240"/>
      <c r="DQ207" s="240"/>
      <c r="DR207" s="290"/>
      <c r="DS207" s="240"/>
      <c r="DT207" s="240"/>
      <c r="DU207" s="240"/>
      <c r="DV207" s="290"/>
      <c r="DW207" s="240"/>
      <c r="DX207" s="240"/>
      <c r="DY207" s="240"/>
      <c r="DZ207" s="240"/>
      <c r="EA207" s="240"/>
      <c r="EB207" s="240"/>
      <c r="EC207" s="240"/>
      <c r="ED207" s="240"/>
      <c r="EE207" s="240"/>
      <c r="EF207" s="290"/>
      <c r="EG207" s="240"/>
      <c r="EH207" s="240"/>
      <c r="EI207" s="240"/>
      <c r="EJ207" s="290"/>
      <c r="EK207" s="240"/>
      <c r="EL207" s="290"/>
      <c r="EM207" s="240"/>
      <c r="EN207" s="240"/>
      <c r="EO207" s="240"/>
      <c r="EP207" s="240"/>
      <c r="EQ207" s="240"/>
      <c r="ER207" s="240"/>
      <c r="ES207" s="240"/>
      <c r="ET207" s="240"/>
      <c r="EU207" s="240"/>
      <c r="EV207" s="240"/>
      <c r="EW207" s="240"/>
      <c r="EX207" s="290"/>
      <c r="EY207" s="240"/>
      <c r="EZ207" s="240"/>
      <c r="FA207" s="240"/>
      <c r="FB207" s="240"/>
      <c r="FC207" s="240"/>
      <c r="FD207" s="240"/>
      <c r="FE207" s="240"/>
      <c r="FF207" s="240"/>
      <c r="FG207" s="240"/>
      <c r="FH207" s="240"/>
      <c r="FI207" s="240"/>
      <c r="FJ207" s="240"/>
      <c r="FK207" s="240"/>
      <c r="FL207" s="240"/>
      <c r="FM207" s="240"/>
      <c r="FN207" s="240"/>
      <c r="FO207" s="290"/>
      <c r="FP207" s="240"/>
      <c r="FQ207" s="240"/>
      <c r="FR207" s="240"/>
      <c r="FS207" s="240"/>
      <c r="FT207" s="240"/>
      <c r="FU207" s="240"/>
      <c r="FV207" s="240"/>
      <c r="FW207" s="240"/>
      <c r="FX207" s="240"/>
      <c r="FY207" s="240"/>
      <c r="FZ207" s="290"/>
      <c r="GA207" s="240"/>
      <c r="GB207" s="240"/>
      <c r="GC207" s="290"/>
      <c r="GD207" s="240"/>
      <c r="GE207" s="240"/>
      <c r="GF207" s="240"/>
      <c r="GG207" s="240"/>
      <c r="GH207" s="290"/>
      <c r="GI207" s="240"/>
      <c r="GJ207" s="240"/>
      <c r="GK207" s="240"/>
      <c r="GL207" s="240"/>
      <c r="GM207" s="290"/>
      <c r="GN207" s="240"/>
      <c r="GO207" s="240"/>
      <c r="GP207" s="240"/>
      <c r="GQ207" s="240"/>
      <c r="GR207" s="240"/>
      <c r="GS207" s="240"/>
      <c r="GT207" s="240"/>
      <c r="GU207" s="240"/>
      <c r="GV207" s="240"/>
      <c r="GW207" s="240"/>
      <c r="GX207" s="240"/>
      <c r="GY207" s="240"/>
      <c r="GZ207" s="240"/>
      <c r="HA207" s="240"/>
      <c r="HB207" s="240"/>
      <c r="HC207" s="240"/>
      <c r="HD207" s="290"/>
      <c r="HE207" s="240"/>
      <c r="HF207" s="240"/>
      <c r="HG207" s="240"/>
      <c r="HH207" s="240"/>
      <c r="HI207" s="240"/>
      <c r="HJ207" s="290"/>
      <c r="HK207" s="240"/>
      <c r="HL207" s="290"/>
      <c r="HM207" s="241"/>
      <c r="HN207" s="235"/>
      <c r="HO207" s="235"/>
    </row>
    <row r="208" spans="2:225" ht="37.5" hidden="1" outlineLevel="2">
      <c r="B208" s="275"/>
      <c r="C208" s="258" t="s">
        <v>116</v>
      </c>
      <c r="D208" s="236" t="s">
        <v>3394</v>
      </c>
      <c r="E208" s="248"/>
      <c r="F208" s="314" t="str">
        <f>IF(E208='3. Dropdowns'!C252,"","Submittals")</f>
        <v>Submittals</v>
      </c>
      <c r="G208" s="268"/>
      <c r="H208" s="294"/>
      <c r="I208" s="291"/>
      <c r="J208" s="292"/>
      <c r="K208" s="292"/>
      <c r="L208" s="292"/>
      <c r="M208" s="292"/>
      <c r="N208" s="292"/>
      <c r="O208" s="292"/>
      <c r="P208" s="292"/>
      <c r="Q208" s="292"/>
      <c r="R208" s="292"/>
      <c r="S208" s="292"/>
      <c r="T208" s="240" t="s">
        <v>890</v>
      </c>
      <c r="U208" s="240"/>
      <c r="V208" s="240"/>
      <c r="W208" s="240"/>
      <c r="X208" s="294"/>
      <c r="Y208" s="240"/>
      <c r="Z208" s="240"/>
      <c r="AA208" s="240"/>
      <c r="AB208" s="240"/>
      <c r="AC208" s="240"/>
      <c r="AD208" s="240"/>
      <c r="AE208" s="240"/>
      <c r="AF208" s="240"/>
      <c r="AG208" s="240"/>
      <c r="AH208" s="294"/>
      <c r="AI208" s="240"/>
      <c r="AJ208" s="240"/>
      <c r="AK208" s="240"/>
      <c r="AL208" s="240"/>
      <c r="AM208" s="294"/>
      <c r="AN208" s="240"/>
      <c r="AO208" s="240"/>
      <c r="AP208" s="240"/>
      <c r="AQ208" s="294"/>
      <c r="AR208" s="240"/>
      <c r="AS208" s="240"/>
      <c r="AT208" s="240"/>
      <c r="AU208" s="240"/>
      <c r="AV208" s="240"/>
      <c r="AW208" s="240"/>
      <c r="AX208" s="240"/>
      <c r="AY208" s="240"/>
      <c r="AZ208" s="294"/>
      <c r="BA208" s="240"/>
      <c r="BB208" s="240"/>
      <c r="BC208" s="240"/>
      <c r="BD208" s="240"/>
      <c r="BE208" s="240"/>
      <c r="BF208" s="240"/>
      <c r="BG208" s="240"/>
      <c r="BH208" s="240"/>
      <c r="BI208" s="240"/>
      <c r="BJ208" s="240"/>
      <c r="BK208" s="240"/>
      <c r="BL208" s="240"/>
      <c r="BM208" s="240"/>
      <c r="BN208" s="240"/>
      <c r="BO208" s="240"/>
      <c r="BP208" s="294"/>
      <c r="BQ208" s="240"/>
      <c r="BR208" s="240"/>
      <c r="BS208" s="240"/>
      <c r="BT208" s="240"/>
      <c r="BU208" s="240"/>
      <c r="BV208" s="240"/>
      <c r="BW208" s="240"/>
      <c r="BX208" s="240"/>
      <c r="BY208" s="240"/>
      <c r="BZ208" s="240"/>
      <c r="CA208" s="240"/>
      <c r="CB208" s="240"/>
      <c r="CC208" s="240"/>
      <c r="CD208" s="240"/>
      <c r="CE208" s="240"/>
      <c r="CF208" s="294"/>
      <c r="CG208" s="240"/>
      <c r="CH208" s="240"/>
      <c r="CI208" s="240"/>
      <c r="CJ208" s="240"/>
      <c r="CK208" s="240"/>
      <c r="CL208" s="240"/>
      <c r="CM208" s="240"/>
      <c r="CN208" s="240"/>
      <c r="CO208" s="240"/>
      <c r="CP208" s="240"/>
      <c r="CQ208" s="240"/>
      <c r="CR208" s="240"/>
      <c r="CS208" s="238" t="s">
        <v>890</v>
      </c>
      <c r="CT208" s="240"/>
      <c r="CU208" s="240"/>
      <c r="CV208" s="240"/>
      <c r="CW208" s="240"/>
      <c r="CX208" s="240"/>
      <c r="CY208" s="240"/>
      <c r="CZ208" s="240"/>
      <c r="DA208" s="240"/>
      <c r="DB208" s="240"/>
      <c r="DC208" s="240"/>
      <c r="DD208" s="240"/>
      <c r="DE208" s="240"/>
      <c r="DF208" s="294"/>
      <c r="DG208" s="240"/>
      <c r="DH208" s="240"/>
      <c r="DI208" s="240"/>
      <c r="DJ208" s="240"/>
      <c r="DK208" s="240"/>
      <c r="DL208" s="240"/>
      <c r="DM208" s="240"/>
      <c r="DN208" s="240"/>
      <c r="DO208" s="240"/>
      <c r="DP208" s="240"/>
      <c r="DQ208" s="240"/>
      <c r="DR208" s="294"/>
      <c r="DS208" s="240"/>
      <c r="DT208" s="240"/>
      <c r="DU208" s="240"/>
      <c r="DV208" s="294"/>
      <c r="DW208" s="240"/>
      <c r="DX208" s="240"/>
      <c r="DY208" s="240"/>
      <c r="DZ208" s="240"/>
      <c r="EA208" s="240"/>
      <c r="EB208" s="240"/>
      <c r="EC208" s="240"/>
      <c r="ED208" s="240"/>
      <c r="EE208" s="240"/>
      <c r="EF208" s="294"/>
      <c r="EG208" s="240"/>
      <c r="EH208" s="240"/>
      <c r="EI208" s="240"/>
      <c r="EJ208" s="294"/>
      <c r="EK208" s="240"/>
      <c r="EL208" s="294"/>
      <c r="EM208" s="240"/>
      <c r="EN208" s="240"/>
      <c r="EO208" s="240"/>
      <c r="EP208" s="240"/>
      <c r="EQ208" s="240"/>
      <c r="ER208" s="240"/>
      <c r="ES208" s="240"/>
      <c r="ET208" s="240"/>
      <c r="EU208" s="240"/>
      <c r="EV208" s="240"/>
      <c r="EW208" s="240"/>
      <c r="EX208" s="294"/>
      <c r="EY208" s="240"/>
      <c r="EZ208" s="240"/>
      <c r="FA208" s="240"/>
      <c r="FB208" s="240"/>
      <c r="FC208" s="240"/>
      <c r="FD208" s="240"/>
      <c r="FE208" s="240"/>
      <c r="FF208" s="240"/>
      <c r="FG208" s="240"/>
      <c r="FH208" s="240"/>
      <c r="FI208" s="240"/>
      <c r="FJ208" s="240"/>
      <c r="FK208" s="240"/>
      <c r="FL208" s="240"/>
      <c r="FM208" s="240"/>
      <c r="FN208" s="240"/>
      <c r="FO208" s="294"/>
      <c r="FP208" s="240"/>
      <c r="FQ208" s="240"/>
      <c r="FR208" s="240"/>
      <c r="FS208" s="240"/>
      <c r="FT208" s="240"/>
      <c r="FU208" s="240"/>
      <c r="FV208" s="240"/>
      <c r="FW208" s="240"/>
      <c r="FX208" s="240"/>
      <c r="FY208" s="240"/>
      <c r="FZ208" s="294"/>
      <c r="GA208" s="240"/>
      <c r="GB208" s="240"/>
      <c r="GC208" s="294"/>
      <c r="GD208" s="240"/>
      <c r="GE208" s="240"/>
      <c r="GF208" s="240"/>
      <c r="GG208" s="240"/>
      <c r="GH208" s="294"/>
      <c r="GI208" s="240"/>
      <c r="GJ208" s="240"/>
      <c r="GK208" s="240"/>
      <c r="GL208" s="240"/>
      <c r="GM208" s="294"/>
      <c r="GN208" s="240"/>
      <c r="GO208" s="240"/>
      <c r="GP208" s="240"/>
      <c r="GQ208" s="240"/>
      <c r="GR208" s="240"/>
      <c r="GS208" s="240"/>
      <c r="GT208" s="240"/>
      <c r="GU208" s="240"/>
      <c r="GV208" s="240"/>
      <c r="GW208" s="240"/>
      <c r="GX208" s="240"/>
      <c r="GY208" s="240"/>
      <c r="GZ208" s="240"/>
      <c r="HA208" s="240"/>
      <c r="HB208" s="240"/>
      <c r="HC208" s="240"/>
      <c r="HD208" s="294"/>
      <c r="HE208" s="240"/>
      <c r="HF208" s="240"/>
      <c r="HG208" s="240"/>
      <c r="HH208" s="240"/>
      <c r="HI208" s="240"/>
      <c r="HJ208" s="294"/>
      <c r="HK208" s="240"/>
      <c r="HL208" s="294"/>
      <c r="HM208" s="241"/>
      <c r="HN208" s="235"/>
      <c r="HO208" s="235"/>
    </row>
    <row r="209" spans="2:225" ht="37.5" hidden="1" outlineLevel="2">
      <c r="B209" s="275"/>
      <c r="C209" s="258" t="s">
        <v>116</v>
      </c>
      <c r="D209" s="236" t="s">
        <v>3395</v>
      </c>
      <c r="E209" s="248"/>
      <c r="F209" s="314" t="str">
        <f>IF(E209='3. Dropdowns'!C252,"","Submittals, Execution")</f>
        <v>Submittals, Execution</v>
      </c>
      <c r="G209" s="268"/>
      <c r="H209" s="294"/>
      <c r="I209" s="291"/>
      <c r="J209" s="292"/>
      <c r="K209" s="292"/>
      <c r="L209" s="292"/>
      <c r="M209" s="292"/>
      <c r="N209" s="292"/>
      <c r="O209" s="292"/>
      <c r="P209" s="292"/>
      <c r="Q209" s="292"/>
      <c r="R209" s="292"/>
      <c r="S209" s="292"/>
      <c r="T209" s="240" t="s">
        <v>890</v>
      </c>
      <c r="U209" s="240"/>
      <c r="V209" s="240"/>
      <c r="W209" s="240"/>
      <c r="X209" s="294"/>
      <c r="Y209" s="240"/>
      <c r="Z209" s="240"/>
      <c r="AA209" s="240"/>
      <c r="AB209" s="240"/>
      <c r="AC209" s="240"/>
      <c r="AD209" s="240"/>
      <c r="AE209" s="240"/>
      <c r="AF209" s="240"/>
      <c r="AG209" s="240"/>
      <c r="AH209" s="294"/>
      <c r="AI209" s="240"/>
      <c r="AJ209" s="240"/>
      <c r="AK209" s="240"/>
      <c r="AL209" s="240"/>
      <c r="AM209" s="294"/>
      <c r="AN209" s="240"/>
      <c r="AO209" s="240"/>
      <c r="AP209" s="240"/>
      <c r="AQ209" s="294"/>
      <c r="AR209" s="240"/>
      <c r="AS209" s="240"/>
      <c r="AT209" s="240"/>
      <c r="AU209" s="240"/>
      <c r="AV209" s="240"/>
      <c r="AW209" s="240"/>
      <c r="AX209" s="240"/>
      <c r="AY209" s="240"/>
      <c r="AZ209" s="294"/>
      <c r="BA209" s="240"/>
      <c r="BB209" s="240"/>
      <c r="BC209" s="240"/>
      <c r="BD209" s="240"/>
      <c r="BE209" s="240" t="s">
        <v>890</v>
      </c>
      <c r="BF209" s="240"/>
      <c r="BG209" s="240"/>
      <c r="BH209" s="240"/>
      <c r="BI209" s="240"/>
      <c r="BJ209" s="240"/>
      <c r="BK209" s="240"/>
      <c r="BL209" s="240"/>
      <c r="BM209" s="240"/>
      <c r="BN209" s="240"/>
      <c r="BO209" s="240"/>
      <c r="BP209" s="294"/>
      <c r="BQ209" s="240"/>
      <c r="BR209" s="240"/>
      <c r="BS209" s="240"/>
      <c r="BT209" s="240"/>
      <c r="BU209" s="240"/>
      <c r="BV209" s="240"/>
      <c r="BW209" s="240"/>
      <c r="BX209" s="240"/>
      <c r="BY209" s="240" t="s">
        <v>890</v>
      </c>
      <c r="BZ209" s="240"/>
      <c r="CA209" s="240"/>
      <c r="CB209" s="240"/>
      <c r="CC209" s="240"/>
      <c r="CD209" s="240"/>
      <c r="CE209" s="240"/>
      <c r="CF209" s="294"/>
      <c r="CG209" s="240"/>
      <c r="CH209" s="240"/>
      <c r="CI209" s="240"/>
      <c r="CJ209" s="240"/>
      <c r="CK209" s="240"/>
      <c r="CL209" s="240"/>
      <c r="CM209" s="240"/>
      <c r="CN209" s="240"/>
      <c r="CO209" s="240"/>
      <c r="CP209" s="240"/>
      <c r="CQ209" s="240"/>
      <c r="CR209" s="240"/>
      <c r="CS209" s="238" t="s">
        <v>890</v>
      </c>
      <c r="CT209" s="240"/>
      <c r="CU209" s="240"/>
      <c r="CV209" s="240"/>
      <c r="CW209" s="240"/>
      <c r="CX209" s="240"/>
      <c r="CY209" s="240"/>
      <c r="CZ209" s="240"/>
      <c r="DA209" s="240"/>
      <c r="DB209" s="240"/>
      <c r="DC209" s="240"/>
      <c r="DD209" s="240"/>
      <c r="DE209" s="240"/>
      <c r="DF209" s="294"/>
      <c r="DG209" s="240"/>
      <c r="DH209" s="240"/>
      <c r="DI209" s="240"/>
      <c r="DJ209" s="240"/>
      <c r="DK209" s="240"/>
      <c r="DL209" s="240"/>
      <c r="DM209" s="240"/>
      <c r="DN209" s="240"/>
      <c r="DO209" s="240"/>
      <c r="DP209" s="240"/>
      <c r="DQ209" s="240"/>
      <c r="DR209" s="294"/>
      <c r="DS209" s="240"/>
      <c r="DT209" s="240"/>
      <c r="DU209" s="240"/>
      <c r="DV209" s="294"/>
      <c r="DW209" s="240"/>
      <c r="DX209" s="240"/>
      <c r="DY209" s="240"/>
      <c r="DZ209" s="240"/>
      <c r="EA209" s="240"/>
      <c r="EB209" s="240"/>
      <c r="EC209" s="240"/>
      <c r="ED209" s="240"/>
      <c r="EE209" s="240"/>
      <c r="EF209" s="294"/>
      <c r="EG209" s="240"/>
      <c r="EH209" s="240"/>
      <c r="EI209" s="240"/>
      <c r="EJ209" s="294"/>
      <c r="EK209" s="240"/>
      <c r="EL209" s="294"/>
      <c r="EM209" s="240"/>
      <c r="EN209" s="240"/>
      <c r="EO209" s="240"/>
      <c r="EP209" s="240"/>
      <c r="EQ209" s="240"/>
      <c r="ER209" s="240"/>
      <c r="ES209" s="240"/>
      <c r="ET209" s="240"/>
      <c r="EU209" s="240"/>
      <c r="EV209" s="240"/>
      <c r="EW209" s="240"/>
      <c r="EX209" s="294"/>
      <c r="EY209" s="240"/>
      <c r="EZ209" s="240"/>
      <c r="FA209" s="240"/>
      <c r="FB209" s="240"/>
      <c r="FC209" s="240"/>
      <c r="FD209" s="240"/>
      <c r="FE209" s="240"/>
      <c r="FF209" s="240"/>
      <c r="FG209" s="240"/>
      <c r="FH209" s="240"/>
      <c r="FI209" s="240"/>
      <c r="FJ209" s="240"/>
      <c r="FK209" s="240"/>
      <c r="FL209" s="240"/>
      <c r="FM209" s="240"/>
      <c r="FN209" s="240"/>
      <c r="FO209" s="294"/>
      <c r="FP209" s="240"/>
      <c r="FQ209" s="240"/>
      <c r="FR209" s="240"/>
      <c r="FS209" s="240"/>
      <c r="FT209" s="240"/>
      <c r="FU209" s="240"/>
      <c r="FV209" s="240"/>
      <c r="FW209" s="240"/>
      <c r="FX209" s="240"/>
      <c r="FY209" s="240"/>
      <c r="FZ209" s="294"/>
      <c r="GA209" s="240"/>
      <c r="GB209" s="240"/>
      <c r="GC209" s="294"/>
      <c r="GD209" s="240"/>
      <c r="GE209" s="240"/>
      <c r="GF209" s="240"/>
      <c r="GG209" s="240"/>
      <c r="GH209" s="294"/>
      <c r="GI209" s="240"/>
      <c r="GJ209" s="240"/>
      <c r="GK209" s="240"/>
      <c r="GL209" s="240"/>
      <c r="GM209" s="294"/>
      <c r="GN209" s="240"/>
      <c r="GO209" s="240"/>
      <c r="GP209" s="240"/>
      <c r="GQ209" s="240"/>
      <c r="GR209" s="240"/>
      <c r="GS209" s="240"/>
      <c r="GT209" s="240"/>
      <c r="GU209" s="240"/>
      <c r="GV209" s="240"/>
      <c r="GW209" s="240"/>
      <c r="GX209" s="240"/>
      <c r="GY209" s="240"/>
      <c r="GZ209" s="240"/>
      <c r="HA209" s="240"/>
      <c r="HB209" s="240"/>
      <c r="HC209" s="240"/>
      <c r="HD209" s="294"/>
      <c r="HE209" s="240"/>
      <c r="HF209" s="240"/>
      <c r="HG209" s="240"/>
      <c r="HH209" s="240"/>
      <c r="HI209" s="240"/>
      <c r="HJ209" s="294"/>
      <c r="HK209" s="240"/>
      <c r="HL209" s="294"/>
      <c r="HM209" s="241"/>
      <c r="HN209" s="235"/>
      <c r="HO209" s="235"/>
    </row>
    <row r="210" spans="2:225" hidden="1" outlineLevel="2">
      <c r="B210" s="308" t="s">
        <v>1031</v>
      </c>
      <c r="C210" s="258" t="str">
        <f>IF(OR(E209='3. Dropdowns'!C250,E209='3. Dropdowns'!C251,E209=""),"Show","Hide")</f>
        <v>Show</v>
      </c>
      <c r="D210" s="259" t="s">
        <v>1029</v>
      </c>
      <c r="E210" s="248"/>
      <c r="F210" s="284" t="str">
        <f>IF(E209='3. Dropdowns'!C252,"","Submittals, Execution")</f>
        <v>Submittals, Execution</v>
      </c>
      <c r="G210" s="268"/>
      <c r="H210" s="294"/>
      <c r="I210" s="291"/>
      <c r="J210" s="292"/>
      <c r="K210" s="292"/>
      <c r="L210" s="292"/>
      <c r="M210" s="292"/>
      <c r="N210" s="292"/>
      <c r="O210" s="292"/>
      <c r="P210" s="292"/>
      <c r="Q210" s="292"/>
      <c r="R210" s="292"/>
      <c r="S210" s="292"/>
      <c r="T210" s="240" t="s">
        <v>890</v>
      </c>
      <c r="U210" s="240"/>
      <c r="V210" s="240"/>
      <c r="W210" s="240"/>
      <c r="X210" s="294"/>
      <c r="Y210" s="240"/>
      <c r="Z210" s="240"/>
      <c r="AA210" s="240"/>
      <c r="AB210" s="240"/>
      <c r="AC210" s="240"/>
      <c r="AD210" s="240"/>
      <c r="AE210" s="240"/>
      <c r="AF210" s="240"/>
      <c r="AG210" s="240"/>
      <c r="AH210" s="294"/>
      <c r="AI210" s="240"/>
      <c r="AJ210" s="240"/>
      <c r="AK210" s="240"/>
      <c r="AL210" s="240"/>
      <c r="AM210" s="294"/>
      <c r="AN210" s="240"/>
      <c r="AO210" s="240"/>
      <c r="AP210" s="240"/>
      <c r="AQ210" s="294"/>
      <c r="AR210" s="240"/>
      <c r="AS210" s="240"/>
      <c r="AT210" s="240"/>
      <c r="AU210" s="240"/>
      <c r="AV210" s="240"/>
      <c r="AW210" s="240"/>
      <c r="AX210" s="240"/>
      <c r="AY210" s="240"/>
      <c r="AZ210" s="294"/>
      <c r="BA210" s="240"/>
      <c r="BB210" s="240"/>
      <c r="BC210" s="240"/>
      <c r="BD210" s="240"/>
      <c r="BE210" s="240"/>
      <c r="BF210" s="240"/>
      <c r="BG210" s="240"/>
      <c r="BH210" s="240"/>
      <c r="BI210" s="240"/>
      <c r="BJ210" s="240"/>
      <c r="BK210" s="240"/>
      <c r="BL210" s="240"/>
      <c r="BM210" s="240"/>
      <c r="BN210" s="240"/>
      <c r="BO210" s="240"/>
      <c r="BP210" s="294"/>
      <c r="BQ210" s="240"/>
      <c r="BR210" s="240"/>
      <c r="BS210" s="240"/>
      <c r="BT210" s="240"/>
      <c r="BU210" s="240"/>
      <c r="BV210" s="240"/>
      <c r="BW210" s="240"/>
      <c r="BX210" s="240"/>
      <c r="BY210" s="240"/>
      <c r="BZ210" s="240"/>
      <c r="CA210" s="240"/>
      <c r="CB210" s="240"/>
      <c r="CC210" s="240"/>
      <c r="CD210" s="240"/>
      <c r="CE210" s="240"/>
      <c r="CF210" s="294"/>
      <c r="CG210" s="240"/>
      <c r="CH210" s="240"/>
      <c r="CI210" s="240"/>
      <c r="CJ210" s="240"/>
      <c r="CK210" s="240"/>
      <c r="CL210" s="240"/>
      <c r="CM210" s="240"/>
      <c r="CN210" s="240"/>
      <c r="CO210" s="240"/>
      <c r="CP210" s="240"/>
      <c r="CQ210" s="240"/>
      <c r="CR210" s="240"/>
      <c r="CS210" s="294"/>
      <c r="CT210" s="240"/>
      <c r="CU210" s="240"/>
      <c r="CV210" s="240"/>
      <c r="CW210" s="240"/>
      <c r="CX210" s="240"/>
      <c r="CY210" s="240"/>
      <c r="CZ210" s="240"/>
      <c r="DA210" s="240"/>
      <c r="DB210" s="240"/>
      <c r="DC210" s="240"/>
      <c r="DD210" s="240"/>
      <c r="DE210" s="240"/>
      <c r="DF210" s="294"/>
      <c r="DG210" s="240"/>
      <c r="DH210" s="240"/>
      <c r="DI210" s="240"/>
      <c r="DJ210" s="240"/>
      <c r="DK210" s="240"/>
      <c r="DL210" s="240"/>
      <c r="DM210" s="240"/>
      <c r="DN210" s="240"/>
      <c r="DO210" s="240"/>
      <c r="DP210" s="240"/>
      <c r="DQ210" s="240"/>
      <c r="DR210" s="294"/>
      <c r="DS210" s="240"/>
      <c r="DT210" s="240"/>
      <c r="DU210" s="240"/>
      <c r="DV210" s="294"/>
      <c r="DW210" s="240"/>
      <c r="DX210" s="240"/>
      <c r="DY210" s="240"/>
      <c r="DZ210" s="240"/>
      <c r="EA210" s="240"/>
      <c r="EB210" s="240"/>
      <c r="EC210" s="240"/>
      <c r="ED210" s="240"/>
      <c r="EE210" s="240"/>
      <c r="EF210" s="294"/>
      <c r="EG210" s="240"/>
      <c r="EH210" s="240"/>
      <c r="EI210" s="240"/>
      <c r="EJ210" s="294"/>
      <c r="EK210" s="240"/>
      <c r="EL210" s="294"/>
      <c r="EM210" s="240"/>
      <c r="EN210" s="240"/>
      <c r="EO210" s="240"/>
      <c r="EP210" s="240"/>
      <c r="EQ210" s="240"/>
      <c r="ER210" s="240"/>
      <c r="ES210" s="240"/>
      <c r="ET210" s="240"/>
      <c r="EU210" s="240"/>
      <c r="EV210" s="240"/>
      <c r="EW210" s="240"/>
      <c r="EX210" s="294"/>
      <c r="EY210" s="240"/>
      <c r="EZ210" s="240"/>
      <c r="FA210" s="240"/>
      <c r="FB210" s="240"/>
      <c r="FC210" s="240"/>
      <c r="FD210" s="240"/>
      <c r="FE210" s="240"/>
      <c r="FF210" s="240"/>
      <c r="FG210" s="240"/>
      <c r="FH210" s="240"/>
      <c r="FI210" s="240"/>
      <c r="FJ210" s="240"/>
      <c r="FK210" s="240"/>
      <c r="FL210" s="240"/>
      <c r="FM210" s="240"/>
      <c r="FN210" s="240"/>
      <c r="FO210" s="294"/>
      <c r="FP210" s="240"/>
      <c r="FQ210" s="240"/>
      <c r="FR210" s="240"/>
      <c r="FS210" s="240"/>
      <c r="FT210" s="240"/>
      <c r="FU210" s="240"/>
      <c r="FV210" s="240"/>
      <c r="FW210" s="240"/>
      <c r="FX210" s="240"/>
      <c r="FY210" s="240"/>
      <c r="FZ210" s="294"/>
      <c r="GA210" s="240"/>
      <c r="GB210" s="240"/>
      <c r="GC210" s="294"/>
      <c r="GD210" s="240"/>
      <c r="GE210" s="240"/>
      <c r="GF210" s="240"/>
      <c r="GG210" s="240"/>
      <c r="GH210" s="294"/>
      <c r="GI210" s="240"/>
      <c r="GJ210" s="240"/>
      <c r="GK210" s="240"/>
      <c r="GL210" s="240"/>
      <c r="GM210" s="294"/>
      <c r="GN210" s="240"/>
      <c r="GO210" s="240"/>
      <c r="GP210" s="240"/>
      <c r="GQ210" s="240"/>
      <c r="GR210" s="240"/>
      <c r="GS210" s="240"/>
      <c r="GT210" s="240"/>
      <c r="GU210" s="240"/>
      <c r="GV210" s="240"/>
      <c r="GW210" s="240"/>
      <c r="GX210" s="240"/>
      <c r="GY210" s="240"/>
      <c r="GZ210" s="240"/>
      <c r="HA210" s="240"/>
      <c r="HB210" s="240"/>
      <c r="HC210" s="240"/>
      <c r="HD210" s="294"/>
      <c r="HE210" s="240"/>
      <c r="HF210" s="240"/>
      <c r="HG210" s="240"/>
      <c r="HH210" s="240"/>
      <c r="HI210" s="240"/>
      <c r="HJ210" s="294"/>
      <c r="HK210" s="240"/>
      <c r="HL210" s="294"/>
      <c r="HM210" s="241"/>
      <c r="HN210" s="235"/>
      <c r="HO210" s="235"/>
    </row>
    <row r="211" spans="2:225" ht="37.5" hidden="1" outlineLevel="2">
      <c r="B211" s="275"/>
      <c r="C211" s="258" t="s">
        <v>116</v>
      </c>
      <c r="D211" s="236" t="s">
        <v>3396</v>
      </c>
      <c r="E211" s="248"/>
      <c r="F211" s="314" t="str">
        <f>IF(E211='3. Dropdowns'!C252,"","Products, Execution")</f>
        <v>Products, Execution</v>
      </c>
      <c r="G211" s="268"/>
      <c r="H211" s="294"/>
      <c r="I211" s="291"/>
      <c r="J211" s="292"/>
      <c r="K211" s="292"/>
      <c r="L211" s="292"/>
      <c r="M211" s="292"/>
      <c r="N211" s="292"/>
      <c r="O211" s="292"/>
      <c r="P211" s="292"/>
      <c r="Q211" s="292"/>
      <c r="R211" s="292"/>
      <c r="S211" s="292"/>
      <c r="T211" s="240" t="s">
        <v>890</v>
      </c>
      <c r="U211" s="240"/>
      <c r="V211" s="240"/>
      <c r="W211" s="240"/>
      <c r="X211" s="294"/>
      <c r="Y211" s="240"/>
      <c r="Z211" s="240"/>
      <c r="AA211" s="240"/>
      <c r="AB211" s="240"/>
      <c r="AC211" s="240"/>
      <c r="AD211" s="240"/>
      <c r="AE211" s="240"/>
      <c r="AF211" s="240"/>
      <c r="AG211" s="240"/>
      <c r="AH211" s="294"/>
      <c r="AI211" s="240"/>
      <c r="AJ211" s="240"/>
      <c r="AK211" s="240"/>
      <c r="AL211" s="240"/>
      <c r="AM211" s="294"/>
      <c r="AN211" s="240"/>
      <c r="AO211" s="240"/>
      <c r="AP211" s="240"/>
      <c r="AQ211" s="294"/>
      <c r="AR211" s="240"/>
      <c r="AS211" s="240"/>
      <c r="AT211" s="240"/>
      <c r="AU211" s="240"/>
      <c r="AV211" s="240"/>
      <c r="AW211" s="240"/>
      <c r="AX211" s="240"/>
      <c r="AY211" s="240"/>
      <c r="AZ211" s="294"/>
      <c r="BA211" s="240"/>
      <c r="BB211" s="240"/>
      <c r="BC211" s="240"/>
      <c r="BD211" s="240"/>
      <c r="BE211" s="240" t="s">
        <v>890</v>
      </c>
      <c r="BF211" s="240"/>
      <c r="BG211" s="240"/>
      <c r="BH211" s="240"/>
      <c r="BI211" s="240"/>
      <c r="BJ211" s="240"/>
      <c r="BK211" s="240"/>
      <c r="BL211" s="240"/>
      <c r="BM211" s="240"/>
      <c r="BN211" s="240"/>
      <c r="BO211" s="240"/>
      <c r="BP211" s="294"/>
      <c r="BQ211" s="240"/>
      <c r="BR211" s="240"/>
      <c r="BS211" s="240"/>
      <c r="BT211" s="240"/>
      <c r="BU211" s="240"/>
      <c r="BV211" s="240"/>
      <c r="BW211" s="240"/>
      <c r="BX211" s="240"/>
      <c r="BY211" s="240"/>
      <c r="BZ211" s="240"/>
      <c r="CA211" s="240"/>
      <c r="CB211" s="240"/>
      <c r="CC211" s="240"/>
      <c r="CD211" s="240"/>
      <c r="CE211" s="240"/>
      <c r="CF211" s="294"/>
      <c r="CG211" s="240"/>
      <c r="CH211" s="240"/>
      <c r="CI211" s="240"/>
      <c r="CJ211" s="240"/>
      <c r="CK211" s="240"/>
      <c r="CL211" s="240"/>
      <c r="CM211" s="240"/>
      <c r="CN211" s="240"/>
      <c r="CO211" s="240"/>
      <c r="CP211" s="240"/>
      <c r="CQ211" s="240"/>
      <c r="CR211" s="240"/>
      <c r="CS211" s="294"/>
      <c r="CT211" s="240"/>
      <c r="CU211" s="240"/>
      <c r="CV211" s="240"/>
      <c r="CW211" s="240"/>
      <c r="CX211" s="240"/>
      <c r="CY211" s="240"/>
      <c r="CZ211" s="240"/>
      <c r="DA211" s="240"/>
      <c r="DB211" s="240"/>
      <c r="DC211" s="240"/>
      <c r="DD211" s="240"/>
      <c r="DE211" s="240"/>
      <c r="DF211" s="294"/>
      <c r="DG211" s="240"/>
      <c r="DH211" s="240"/>
      <c r="DI211" s="240"/>
      <c r="DJ211" s="240"/>
      <c r="DK211" s="240"/>
      <c r="DL211" s="240"/>
      <c r="DM211" s="240"/>
      <c r="DN211" s="240"/>
      <c r="DO211" s="240"/>
      <c r="DP211" s="240"/>
      <c r="DQ211" s="240"/>
      <c r="DR211" s="294"/>
      <c r="DS211" s="240"/>
      <c r="DT211" s="240"/>
      <c r="DU211" s="240"/>
      <c r="DV211" s="294"/>
      <c r="DW211" s="240"/>
      <c r="DX211" s="240"/>
      <c r="DY211" s="240"/>
      <c r="DZ211" s="240"/>
      <c r="EA211" s="240"/>
      <c r="EB211" s="240"/>
      <c r="EC211" s="240"/>
      <c r="ED211" s="240"/>
      <c r="EE211" s="240"/>
      <c r="EF211" s="294"/>
      <c r="EG211" s="240"/>
      <c r="EH211" s="240" t="s">
        <v>890</v>
      </c>
      <c r="EI211" s="240" t="s">
        <v>890</v>
      </c>
      <c r="EJ211" s="294"/>
      <c r="EK211" s="240"/>
      <c r="EL211" s="294"/>
      <c r="EM211" s="240"/>
      <c r="EN211" s="240"/>
      <c r="EO211" s="240"/>
      <c r="EP211" s="240"/>
      <c r="EQ211" s="240"/>
      <c r="ER211" s="240"/>
      <c r="ES211" s="240"/>
      <c r="ET211" s="240"/>
      <c r="EU211" s="240"/>
      <c r="EV211" s="240"/>
      <c r="EW211" s="240"/>
      <c r="EX211" s="294"/>
      <c r="EY211" s="240"/>
      <c r="EZ211" s="240"/>
      <c r="FA211" s="240"/>
      <c r="FB211" s="240"/>
      <c r="FC211" s="240"/>
      <c r="FD211" s="240"/>
      <c r="FE211" s="240"/>
      <c r="FF211" s="240"/>
      <c r="FG211" s="240"/>
      <c r="FH211" s="240"/>
      <c r="FI211" s="240"/>
      <c r="FJ211" s="240"/>
      <c r="FK211" s="240"/>
      <c r="FL211" s="240"/>
      <c r="FM211" s="240"/>
      <c r="FN211" s="240"/>
      <c r="FO211" s="294"/>
      <c r="FP211" s="240"/>
      <c r="FQ211" s="240"/>
      <c r="FR211" s="240"/>
      <c r="FS211" s="240"/>
      <c r="FT211" s="240"/>
      <c r="FU211" s="240"/>
      <c r="FV211" s="240"/>
      <c r="FW211" s="240"/>
      <c r="FX211" s="240"/>
      <c r="FY211" s="240"/>
      <c r="FZ211" s="294"/>
      <c r="GA211" s="240"/>
      <c r="GB211" s="240"/>
      <c r="GC211" s="294"/>
      <c r="GD211" s="240"/>
      <c r="GE211" s="240"/>
      <c r="GF211" s="240"/>
      <c r="GG211" s="240"/>
      <c r="GH211" s="294"/>
      <c r="GI211" s="240"/>
      <c r="GJ211" s="240"/>
      <c r="GK211" s="240"/>
      <c r="GL211" s="240"/>
      <c r="GM211" s="294"/>
      <c r="GN211" s="240"/>
      <c r="GO211" s="240"/>
      <c r="GP211" s="240"/>
      <c r="GQ211" s="240"/>
      <c r="GR211" s="240"/>
      <c r="GS211" s="240"/>
      <c r="GT211" s="240"/>
      <c r="GU211" s="240"/>
      <c r="GV211" s="240"/>
      <c r="GW211" s="240"/>
      <c r="GX211" s="240"/>
      <c r="GY211" s="240"/>
      <c r="GZ211" s="240"/>
      <c r="HA211" s="240"/>
      <c r="HB211" s="240"/>
      <c r="HC211" s="240"/>
      <c r="HD211" s="294"/>
      <c r="HE211" s="240"/>
      <c r="HF211" s="240"/>
      <c r="HG211" s="240"/>
      <c r="HH211" s="240"/>
      <c r="HI211" s="240"/>
      <c r="HJ211" s="294"/>
      <c r="HK211" s="240"/>
      <c r="HL211" s="294"/>
      <c r="HM211" s="241"/>
      <c r="HN211" s="235"/>
      <c r="HO211" s="235"/>
    </row>
    <row r="212" spans="2:225" ht="37.5" hidden="1" outlineLevel="2">
      <c r="B212" s="275"/>
      <c r="C212" s="258" t="s">
        <v>116</v>
      </c>
      <c r="D212" s="236" t="s">
        <v>3397</v>
      </c>
      <c r="E212" s="248"/>
      <c r="F212" s="314" t="str">
        <f>IF(E212='3. Dropdowns'!C252,"","Submittals, Products, Execution")</f>
        <v>Submittals, Products, Execution</v>
      </c>
      <c r="G212" s="268"/>
      <c r="H212" s="294"/>
      <c r="I212" s="291"/>
      <c r="J212" s="292"/>
      <c r="K212" s="292"/>
      <c r="L212" s="292"/>
      <c r="M212" s="292"/>
      <c r="N212" s="292"/>
      <c r="O212" s="292"/>
      <c r="P212" s="292"/>
      <c r="Q212" s="292"/>
      <c r="R212" s="292"/>
      <c r="S212" s="292"/>
      <c r="T212" s="240" t="s">
        <v>890</v>
      </c>
      <c r="U212" s="240"/>
      <c r="V212" s="240"/>
      <c r="W212" s="240"/>
      <c r="X212" s="294"/>
      <c r="Y212" s="240"/>
      <c r="Z212" s="240"/>
      <c r="AA212" s="240"/>
      <c r="AB212" s="240"/>
      <c r="AC212" s="240"/>
      <c r="AD212" s="240"/>
      <c r="AE212" s="240"/>
      <c r="AF212" s="240"/>
      <c r="AG212" s="240"/>
      <c r="AH212" s="294"/>
      <c r="AI212" s="240"/>
      <c r="AJ212" s="240"/>
      <c r="AK212" s="240"/>
      <c r="AL212" s="240"/>
      <c r="AM212" s="294"/>
      <c r="AN212" s="240"/>
      <c r="AO212" s="240"/>
      <c r="AP212" s="240"/>
      <c r="AQ212" s="294"/>
      <c r="AR212" s="240"/>
      <c r="AS212" s="240"/>
      <c r="AT212" s="240"/>
      <c r="AU212" s="240"/>
      <c r="AV212" s="240"/>
      <c r="AW212" s="240"/>
      <c r="AX212" s="240"/>
      <c r="AY212" s="240"/>
      <c r="AZ212" s="294"/>
      <c r="BA212" s="240"/>
      <c r="BB212" s="240"/>
      <c r="BC212" s="240"/>
      <c r="BD212" s="240"/>
      <c r="BE212" s="240"/>
      <c r="BF212" s="240"/>
      <c r="BG212" s="240"/>
      <c r="BH212" s="240"/>
      <c r="BI212" s="240"/>
      <c r="BJ212" s="240"/>
      <c r="BK212" s="240" t="s">
        <v>890</v>
      </c>
      <c r="BL212" s="240"/>
      <c r="BM212" s="240"/>
      <c r="BN212" s="240"/>
      <c r="BO212" s="240"/>
      <c r="BP212" s="294"/>
      <c r="BQ212" s="240"/>
      <c r="BR212" s="240"/>
      <c r="BS212" s="240" t="s">
        <v>890</v>
      </c>
      <c r="BT212" s="240"/>
      <c r="BU212" s="240"/>
      <c r="BV212" s="240"/>
      <c r="BW212" s="240"/>
      <c r="BX212" s="240"/>
      <c r="BY212" s="240"/>
      <c r="BZ212" s="240"/>
      <c r="CA212" s="240"/>
      <c r="CB212" s="240"/>
      <c r="CC212" s="240"/>
      <c r="CD212" s="240"/>
      <c r="CE212" s="240"/>
      <c r="CF212" s="294"/>
      <c r="CG212" s="240"/>
      <c r="CH212" s="240"/>
      <c r="CI212" s="240"/>
      <c r="CJ212" s="240"/>
      <c r="CK212" s="240"/>
      <c r="CL212" s="240"/>
      <c r="CM212" s="240" t="s">
        <v>890</v>
      </c>
      <c r="CN212" s="240"/>
      <c r="CO212" s="240"/>
      <c r="CP212" s="240"/>
      <c r="CQ212" s="240" t="s">
        <v>890</v>
      </c>
      <c r="CR212" s="240"/>
      <c r="CS212" s="294"/>
      <c r="CT212" s="240"/>
      <c r="CU212" s="240"/>
      <c r="CV212" s="240"/>
      <c r="CW212" s="240"/>
      <c r="CX212" s="240" t="s">
        <v>890</v>
      </c>
      <c r="CY212" s="240"/>
      <c r="CZ212" s="240"/>
      <c r="DA212" s="240"/>
      <c r="DB212" s="240"/>
      <c r="DC212" s="240"/>
      <c r="DD212" s="240"/>
      <c r="DE212" s="240"/>
      <c r="DF212" s="294"/>
      <c r="DG212" s="240"/>
      <c r="DH212" s="240"/>
      <c r="DI212" s="240"/>
      <c r="DJ212" s="240"/>
      <c r="DK212" s="240"/>
      <c r="DL212" s="240"/>
      <c r="DM212" s="240"/>
      <c r="DN212" s="240"/>
      <c r="DO212" s="240"/>
      <c r="DP212" s="240"/>
      <c r="DQ212" s="240"/>
      <c r="DR212" s="294"/>
      <c r="DS212" s="240"/>
      <c r="DT212" s="240"/>
      <c r="DU212" s="240"/>
      <c r="DV212" s="294"/>
      <c r="DW212" s="240"/>
      <c r="DX212" s="240"/>
      <c r="DY212" s="240"/>
      <c r="DZ212" s="240"/>
      <c r="EA212" s="240"/>
      <c r="EB212" s="240"/>
      <c r="EC212" s="240" t="s">
        <v>890</v>
      </c>
      <c r="ED212" s="240"/>
      <c r="EE212" s="240"/>
      <c r="EF212" s="294"/>
      <c r="EG212" s="240"/>
      <c r="EH212" s="240"/>
      <c r="EI212" s="240"/>
      <c r="EJ212" s="294"/>
      <c r="EK212" s="240"/>
      <c r="EL212" s="294"/>
      <c r="EM212" s="240"/>
      <c r="EN212" s="240"/>
      <c r="EO212" s="240"/>
      <c r="EP212" s="240"/>
      <c r="EQ212" s="240"/>
      <c r="ER212" s="240"/>
      <c r="ES212" s="240"/>
      <c r="ET212" s="240"/>
      <c r="EU212" s="240"/>
      <c r="EV212" s="240" t="s">
        <v>890</v>
      </c>
      <c r="EW212" s="240"/>
      <c r="EX212" s="294"/>
      <c r="EY212" s="240"/>
      <c r="EZ212" s="240"/>
      <c r="FA212" s="240"/>
      <c r="FB212" s="240"/>
      <c r="FC212" s="240"/>
      <c r="FD212" s="240"/>
      <c r="FE212" s="240"/>
      <c r="FF212" s="240"/>
      <c r="FG212" s="240"/>
      <c r="FH212" s="240"/>
      <c r="FI212" s="240"/>
      <c r="FJ212" s="240"/>
      <c r="FK212" s="240"/>
      <c r="FL212" s="240"/>
      <c r="FM212" s="240"/>
      <c r="FN212" s="240"/>
      <c r="FO212" s="294"/>
      <c r="FP212" s="240"/>
      <c r="FQ212" s="240"/>
      <c r="FR212" s="240"/>
      <c r="FS212" s="240"/>
      <c r="FT212" s="240"/>
      <c r="FU212" s="240"/>
      <c r="FV212" s="240"/>
      <c r="FW212" s="240"/>
      <c r="FX212" s="240"/>
      <c r="FY212" s="240" t="s">
        <v>890</v>
      </c>
      <c r="FZ212" s="294"/>
      <c r="GA212" s="240"/>
      <c r="GB212" s="240"/>
      <c r="GC212" s="294"/>
      <c r="GD212" s="240"/>
      <c r="GE212" s="240"/>
      <c r="GF212" s="240"/>
      <c r="GG212" s="240"/>
      <c r="GH212" s="294"/>
      <c r="GI212" s="240"/>
      <c r="GJ212" s="240"/>
      <c r="GK212" s="240"/>
      <c r="GL212" s="240"/>
      <c r="GM212" s="294"/>
      <c r="GN212" s="240" t="s">
        <v>890</v>
      </c>
      <c r="GO212" s="240" t="s">
        <v>890</v>
      </c>
      <c r="GP212" s="240" t="s">
        <v>890</v>
      </c>
      <c r="GQ212" s="240"/>
      <c r="GR212" s="240"/>
      <c r="GS212" s="240"/>
      <c r="GT212" s="240"/>
      <c r="GU212" s="240"/>
      <c r="GV212" s="240"/>
      <c r="GW212" s="240"/>
      <c r="GX212" s="240"/>
      <c r="GY212" s="240"/>
      <c r="GZ212" s="240"/>
      <c r="HA212" s="240"/>
      <c r="HB212" s="240"/>
      <c r="HC212" s="240"/>
      <c r="HD212" s="294"/>
      <c r="HE212" s="240"/>
      <c r="HF212" s="240"/>
      <c r="HG212" s="240"/>
      <c r="HH212" s="240"/>
      <c r="HI212" s="240"/>
      <c r="HJ212" s="294"/>
      <c r="HK212" s="240"/>
      <c r="HL212" s="294"/>
      <c r="HM212" s="241"/>
      <c r="HN212" s="235"/>
      <c r="HO212" s="235"/>
    </row>
    <row r="213" spans="2:225" hidden="1" outlineLevel="2">
      <c r="B213" s="308" t="s">
        <v>1015</v>
      </c>
      <c r="C213" s="258" t="str">
        <f>IF(OR(E212='3. Dropdowns'!C250,E212='3. Dropdowns'!C251,E212=""),"Show","Hide")</f>
        <v>Show</v>
      </c>
      <c r="D213" s="259" t="s">
        <v>1030</v>
      </c>
      <c r="E213" s="248"/>
      <c r="F213" s="284" t="str">
        <f>IF(E212='3. Dropdowns'!C252,"","Submittals, Products, Execution")</f>
        <v>Submittals, Products, Execution</v>
      </c>
      <c r="G213" s="268"/>
      <c r="H213" s="294"/>
      <c r="I213" s="291"/>
      <c r="J213" s="292"/>
      <c r="K213" s="292"/>
      <c r="L213" s="292"/>
      <c r="M213" s="292"/>
      <c r="N213" s="292"/>
      <c r="O213" s="292"/>
      <c r="P213" s="292"/>
      <c r="Q213" s="292"/>
      <c r="R213" s="292"/>
      <c r="S213" s="292"/>
      <c r="T213" s="240" t="s">
        <v>890</v>
      </c>
      <c r="U213" s="240"/>
      <c r="V213" s="240"/>
      <c r="W213" s="240"/>
      <c r="X213" s="294"/>
      <c r="Y213" s="240"/>
      <c r="Z213" s="240"/>
      <c r="AA213" s="240"/>
      <c r="AB213" s="240"/>
      <c r="AC213" s="240"/>
      <c r="AD213" s="240"/>
      <c r="AE213" s="240"/>
      <c r="AF213" s="240"/>
      <c r="AG213" s="240"/>
      <c r="AH213" s="294"/>
      <c r="AI213" s="240"/>
      <c r="AJ213" s="240"/>
      <c r="AK213" s="240"/>
      <c r="AL213" s="240"/>
      <c r="AM213" s="294"/>
      <c r="AN213" s="240"/>
      <c r="AO213" s="240"/>
      <c r="AP213" s="240"/>
      <c r="AQ213" s="294"/>
      <c r="AR213" s="240"/>
      <c r="AS213" s="240"/>
      <c r="AT213" s="240"/>
      <c r="AU213" s="240"/>
      <c r="AV213" s="240"/>
      <c r="AW213" s="240"/>
      <c r="AX213" s="240"/>
      <c r="AY213" s="240"/>
      <c r="AZ213" s="294"/>
      <c r="BA213" s="240"/>
      <c r="BB213" s="240"/>
      <c r="BC213" s="240"/>
      <c r="BD213" s="240"/>
      <c r="BE213" s="240"/>
      <c r="BF213" s="240"/>
      <c r="BG213" s="240"/>
      <c r="BH213" s="240"/>
      <c r="BI213" s="240"/>
      <c r="BJ213" s="240"/>
      <c r="BK213" s="240"/>
      <c r="BL213" s="240"/>
      <c r="BM213" s="240"/>
      <c r="BN213" s="240"/>
      <c r="BO213" s="240"/>
      <c r="BP213" s="294"/>
      <c r="BQ213" s="240"/>
      <c r="BR213" s="240"/>
      <c r="BS213" s="240"/>
      <c r="BT213" s="240"/>
      <c r="BU213" s="240"/>
      <c r="BV213" s="240"/>
      <c r="BW213" s="240"/>
      <c r="BX213" s="240"/>
      <c r="BY213" s="240"/>
      <c r="BZ213" s="240"/>
      <c r="CA213" s="240"/>
      <c r="CB213" s="240"/>
      <c r="CC213" s="240"/>
      <c r="CD213" s="240"/>
      <c r="CE213" s="240"/>
      <c r="CF213" s="294"/>
      <c r="CG213" s="240"/>
      <c r="CH213" s="240"/>
      <c r="CI213" s="240"/>
      <c r="CJ213" s="240"/>
      <c r="CK213" s="240"/>
      <c r="CL213" s="240"/>
      <c r="CM213" s="240"/>
      <c r="CN213" s="240"/>
      <c r="CO213" s="240"/>
      <c r="CP213" s="240"/>
      <c r="CQ213" s="240"/>
      <c r="CR213" s="240"/>
      <c r="CS213" s="294"/>
      <c r="CT213" s="240"/>
      <c r="CU213" s="240"/>
      <c r="CV213" s="240"/>
      <c r="CW213" s="240"/>
      <c r="CX213" s="240"/>
      <c r="CY213" s="240"/>
      <c r="CZ213" s="240"/>
      <c r="DA213" s="240"/>
      <c r="DB213" s="240"/>
      <c r="DC213" s="240"/>
      <c r="DD213" s="240"/>
      <c r="DE213" s="240"/>
      <c r="DF213" s="294"/>
      <c r="DG213" s="240"/>
      <c r="DH213" s="240"/>
      <c r="DI213" s="240"/>
      <c r="DJ213" s="240"/>
      <c r="DK213" s="240"/>
      <c r="DL213" s="240"/>
      <c r="DM213" s="240"/>
      <c r="DN213" s="240"/>
      <c r="DO213" s="240"/>
      <c r="DP213" s="240"/>
      <c r="DQ213" s="240"/>
      <c r="DR213" s="294"/>
      <c r="DS213" s="240"/>
      <c r="DT213" s="240"/>
      <c r="DU213" s="240"/>
      <c r="DV213" s="294"/>
      <c r="DW213" s="240"/>
      <c r="DX213" s="240"/>
      <c r="DY213" s="240"/>
      <c r="DZ213" s="240"/>
      <c r="EA213" s="240"/>
      <c r="EB213" s="240"/>
      <c r="EC213" s="240"/>
      <c r="ED213" s="240"/>
      <c r="EE213" s="240"/>
      <c r="EF213" s="294"/>
      <c r="EG213" s="240"/>
      <c r="EH213" s="240"/>
      <c r="EI213" s="240"/>
      <c r="EJ213" s="294"/>
      <c r="EK213" s="240"/>
      <c r="EL213" s="294"/>
      <c r="EM213" s="240"/>
      <c r="EN213" s="240"/>
      <c r="EO213" s="240"/>
      <c r="EP213" s="240"/>
      <c r="EQ213" s="240"/>
      <c r="ER213" s="240"/>
      <c r="ES213" s="240"/>
      <c r="ET213" s="240"/>
      <c r="EU213" s="240"/>
      <c r="EV213" s="240"/>
      <c r="EW213" s="240"/>
      <c r="EX213" s="294"/>
      <c r="EY213" s="240"/>
      <c r="EZ213" s="240"/>
      <c r="FA213" s="240"/>
      <c r="FB213" s="240"/>
      <c r="FC213" s="240"/>
      <c r="FD213" s="240"/>
      <c r="FE213" s="240"/>
      <c r="FF213" s="240"/>
      <c r="FG213" s="240"/>
      <c r="FH213" s="240"/>
      <c r="FI213" s="240"/>
      <c r="FJ213" s="240"/>
      <c r="FK213" s="240"/>
      <c r="FL213" s="240"/>
      <c r="FM213" s="240"/>
      <c r="FN213" s="240"/>
      <c r="FO213" s="294"/>
      <c r="FP213" s="240"/>
      <c r="FQ213" s="240"/>
      <c r="FR213" s="240"/>
      <c r="FS213" s="240"/>
      <c r="FT213" s="240"/>
      <c r="FU213" s="240"/>
      <c r="FV213" s="240"/>
      <c r="FW213" s="240"/>
      <c r="FX213" s="240"/>
      <c r="FY213" s="240"/>
      <c r="FZ213" s="294"/>
      <c r="GA213" s="240"/>
      <c r="GB213" s="240"/>
      <c r="GC213" s="294"/>
      <c r="GD213" s="240"/>
      <c r="GE213" s="240"/>
      <c r="GF213" s="240"/>
      <c r="GG213" s="240"/>
      <c r="GH213" s="294"/>
      <c r="GI213" s="240"/>
      <c r="GJ213" s="240"/>
      <c r="GK213" s="240"/>
      <c r="GL213" s="240"/>
      <c r="GM213" s="294"/>
      <c r="GN213" s="240"/>
      <c r="GO213" s="240"/>
      <c r="GP213" s="240"/>
      <c r="GQ213" s="240"/>
      <c r="GR213" s="240"/>
      <c r="GS213" s="240"/>
      <c r="GT213" s="240"/>
      <c r="GU213" s="240"/>
      <c r="GV213" s="240"/>
      <c r="GW213" s="240"/>
      <c r="GX213" s="240"/>
      <c r="GY213" s="240"/>
      <c r="GZ213" s="240"/>
      <c r="HA213" s="240"/>
      <c r="HB213" s="240"/>
      <c r="HC213" s="240"/>
      <c r="HD213" s="294"/>
      <c r="HE213" s="240"/>
      <c r="HF213" s="240"/>
      <c r="HG213" s="240"/>
      <c r="HH213" s="240"/>
      <c r="HI213" s="240"/>
      <c r="HJ213" s="294"/>
      <c r="HK213" s="240"/>
      <c r="HL213" s="294"/>
      <c r="HM213" s="241"/>
      <c r="HN213" s="235"/>
      <c r="HO213" s="235"/>
    </row>
    <row r="214" spans="2:225" ht="37.5" hidden="1" outlineLevel="2">
      <c r="B214" s="275"/>
      <c r="C214" s="258" t="s">
        <v>116</v>
      </c>
      <c r="D214" s="236" t="s">
        <v>3398</v>
      </c>
      <c r="E214" s="248"/>
      <c r="F214" s="314" t="str">
        <f>IF(E214='3. Dropdowns'!C252,"","Submittals, Execution")</f>
        <v>Submittals, Execution</v>
      </c>
      <c r="G214" s="268"/>
      <c r="H214" s="294"/>
      <c r="I214" s="291"/>
      <c r="J214" s="292"/>
      <c r="K214" s="292"/>
      <c r="L214" s="292"/>
      <c r="M214" s="292"/>
      <c r="N214" s="292"/>
      <c r="O214" s="292"/>
      <c r="P214" s="292"/>
      <c r="Q214" s="292"/>
      <c r="R214" s="292"/>
      <c r="S214" s="292"/>
      <c r="T214" s="240" t="s">
        <v>890</v>
      </c>
      <c r="U214" s="240"/>
      <c r="V214" s="240"/>
      <c r="W214" s="240"/>
      <c r="X214" s="294"/>
      <c r="Y214" s="240"/>
      <c r="Z214" s="240"/>
      <c r="AA214" s="240"/>
      <c r="AB214" s="240" t="s">
        <v>890</v>
      </c>
      <c r="AC214" s="240" t="s">
        <v>890</v>
      </c>
      <c r="AD214" s="240" t="s">
        <v>890</v>
      </c>
      <c r="AE214" s="240"/>
      <c r="AF214" s="240"/>
      <c r="AG214" s="240"/>
      <c r="AH214" s="294"/>
      <c r="AI214" s="240"/>
      <c r="AJ214" s="240"/>
      <c r="AK214" s="240"/>
      <c r="AL214" s="240"/>
      <c r="AM214" s="294"/>
      <c r="AN214" s="240"/>
      <c r="AO214" s="240"/>
      <c r="AP214" s="240"/>
      <c r="AQ214" s="294"/>
      <c r="AR214" s="240"/>
      <c r="AS214" s="240"/>
      <c r="AT214" s="240"/>
      <c r="AU214" s="240"/>
      <c r="AV214" s="240"/>
      <c r="AW214" s="240"/>
      <c r="AX214" s="240"/>
      <c r="AY214" s="240"/>
      <c r="AZ214" s="294"/>
      <c r="BA214" s="240"/>
      <c r="BB214" s="240"/>
      <c r="BC214" s="240"/>
      <c r="BD214" s="240"/>
      <c r="BE214" s="240"/>
      <c r="BF214" s="240"/>
      <c r="BG214" s="240"/>
      <c r="BH214" s="240"/>
      <c r="BI214" s="240"/>
      <c r="BJ214" s="240"/>
      <c r="BK214" s="240"/>
      <c r="BL214" s="240"/>
      <c r="BM214" s="240"/>
      <c r="BN214" s="240"/>
      <c r="BO214" s="240"/>
      <c r="BP214" s="294"/>
      <c r="BQ214" s="240"/>
      <c r="BR214" s="240"/>
      <c r="BS214" s="240"/>
      <c r="BT214" s="240"/>
      <c r="BU214" s="240"/>
      <c r="BV214" s="240"/>
      <c r="BW214" s="240"/>
      <c r="BX214" s="240"/>
      <c r="BY214" s="240"/>
      <c r="BZ214" s="240"/>
      <c r="CA214" s="240"/>
      <c r="CB214" s="240"/>
      <c r="CC214" s="240"/>
      <c r="CD214" s="240"/>
      <c r="CE214" s="240"/>
      <c r="CF214" s="294"/>
      <c r="CG214" s="240"/>
      <c r="CH214" s="240"/>
      <c r="CI214" s="240"/>
      <c r="CJ214" s="240"/>
      <c r="CK214" s="240"/>
      <c r="CL214" s="240"/>
      <c r="CM214" s="240"/>
      <c r="CN214" s="240"/>
      <c r="CO214" s="240"/>
      <c r="CP214" s="240"/>
      <c r="CQ214" s="240"/>
      <c r="CR214" s="240"/>
      <c r="CS214" s="294"/>
      <c r="CT214" s="240"/>
      <c r="CU214" s="240"/>
      <c r="CV214" s="240"/>
      <c r="CW214" s="240"/>
      <c r="CX214" s="240"/>
      <c r="CY214" s="240"/>
      <c r="CZ214" s="240"/>
      <c r="DA214" s="240"/>
      <c r="DB214" s="240"/>
      <c r="DC214" s="240"/>
      <c r="DD214" s="240"/>
      <c r="DE214" s="240"/>
      <c r="DF214" s="294"/>
      <c r="DG214" s="240"/>
      <c r="DH214" s="240"/>
      <c r="DI214" s="240"/>
      <c r="DJ214" s="240"/>
      <c r="DK214" s="240"/>
      <c r="DL214" s="240"/>
      <c r="DM214" s="240"/>
      <c r="DN214" s="240"/>
      <c r="DO214" s="240"/>
      <c r="DP214" s="240"/>
      <c r="DQ214" s="240"/>
      <c r="DR214" s="294"/>
      <c r="DS214" s="240"/>
      <c r="DT214" s="240"/>
      <c r="DU214" s="240"/>
      <c r="DV214" s="294"/>
      <c r="DW214" s="240"/>
      <c r="DX214" s="240"/>
      <c r="DY214" s="240"/>
      <c r="DZ214" s="240"/>
      <c r="EA214" s="240"/>
      <c r="EB214" s="240"/>
      <c r="EC214" s="240"/>
      <c r="ED214" s="240"/>
      <c r="EE214" s="240"/>
      <c r="EF214" s="294"/>
      <c r="EG214" s="240"/>
      <c r="EH214" s="240"/>
      <c r="EI214" s="240"/>
      <c r="EJ214" s="294"/>
      <c r="EK214" s="240"/>
      <c r="EL214" s="294"/>
      <c r="EM214" s="240"/>
      <c r="EN214" s="240"/>
      <c r="EO214" s="240"/>
      <c r="EP214" s="240"/>
      <c r="EQ214" s="240"/>
      <c r="ER214" s="240"/>
      <c r="ES214" s="240"/>
      <c r="ET214" s="240"/>
      <c r="EU214" s="240"/>
      <c r="EV214" s="240"/>
      <c r="EW214" s="240"/>
      <c r="EX214" s="294"/>
      <c r="EY214" s="240"/>
      <c r="EZ214" s="240"/>
      <c r="FA214" s="240"/>
      <c r="FB214" s="240"/>
      <c r="FC214" s="240"/>
      <c r="FD214" s="240"/>
      <c r="FE214" s="240"/>
      <c r="FF214" s="240"/>
      <c r="FG214" s="240"/>
      <c r="FH214" s="240"/>
      <c r="FI214" s="240"/>
      <c r="FJ214" s="240"/>
      <c r="FK214" s="240"/>
      <c r="FL214" s="240"/>
      <c r="FM214" s="240"/>
      <c r="FN214" s="240"/>
      <c r="FO214" s="294"/>
      <c r="FP214" s="240"/>
      <c r="FQ214" s="240"/>
      <c r="FR214" s="240"/>
      <c r="FS214" s="240"/>
      <c r="FT214" s="240"/>
      <c r="FU214" s="240"/>
      <c r="FV214" s="240"/>
      <c r="FW214" s="240"/>
      <c r="FX214" s="240"/>
      <c r="FY214" s="240"/>
      <c r="FZ214" s="294"/>
      <c r="GA214" s="240"/>
      <c r="GB214" s="240"/>
      <c r="GC214" s="294"/>
      <c r="GD214" s="240"/>
      <c r="GE214" s="240"/>
      <c r="GF214" s="240"/>
      <c r="GG214" s="240"/>
      <c r="GH214" s="294"/>
      <c r="GI214" s="240"/>
      <c r="GJ214" s="240"/>
      <c r="GK214" s="240"/>
      <c r="GL214" s="240"/>
      <c r="GM214" s="294"/>
      <c r="GN214" s="240"/>
      <c r="GO214" s="240"/>
      <c r="GP214" s="240"/>
      <c r="GQ214" s="240"/>
      <c r="GR214" s="240"/>
      <c r="GS214" s="240"/>
      <c r="GT214" s="240"/>
      <c r="GU214" s="240"/>
      <c r="GV214" s="240"/>
      <c r="GW214" s="240"/>
      <c r="GX214" s="240"/>
      <c r="GY214" s="240"/>
      <c r="GZ214" s="240"/>
      <c r="HA214" s="240"/>
      <c r="HB214" s="240"/>
      <c r="HC214" s="240"/>
      <c r="HD214" s="294"/>
      <c r="HE214" s="240"/>
      <c r="HF214" s="240"/>
      <c r="HG214" s="240"/>
      <c r="HH214" s="240"/>
      <c r="HI214" s="240"/>
      <c r="HJ214" s="294"/>
      <c r="HK214" s="240"/>
      <c r="HL214" s="294"/>
      <c r="HM214" s="241"/>
      <c r="HN214" s="235"/>
      <c r="HO214" s="235"/>
    </row>
    <row r="215" spans="2:225" ht="37.5" hidden="1" outlineLevel="2">
      <c r="B215" s="275"/>
      <c r="C215" s="258" t="s">
        <v>116</v>
      </c>
      <c r="D215" s="236" t="s">
        <v>3293</v>
      </c>
      <c r="E215" s="248"/>
      <c r="F215" s="314" t="str">
        <f>IF(E215='3. Dropdowns'!C252,"","Submittals, Execution")</f>
        <v>Submittals, Execution</v>
      </c>
      <c r="G215" s="268"/>
      <c r="H215" s="294"/>
      <c r="I215" s="291"/>
      <c r="J215" s="292"/>
      <c r="K215" s="292"/>
      <c r="L215" s="292"/>
      <c r="M215" s="292"/>
      <c r="N215" s="292"/>
      <c r="O215" s="292"/>
      <c r="P215" s="240" t="s">
        <v>890</v>
      </c>
      <c r="Q215" s="292"/>
      <c r="R215" s="292"/>
      <c r="S215" s="292"/>
      <c r="T215" s="240" t="s">
        <v>890</v>
      </c>
      <c r="U215" s="240"/>
      <c r="V215" s="240"/>
      <c r="W215" s="240"/>
      <c r="X215" s="294"/>
      <c r="Y215" s="240"/>
      <c r="Z215" s="240"/>
      <c r="AA215" s="240"/>
      <c r="AB215" s="240"/>
      <c r="AC215" s="240"/>
      <c r="AD215" s="240"/>
      <c r="AE215" s="240"/>
      <c r="AF215" s="240"/>
      <c r="AG215" s="240"/>
      <c r="AH215" s="294"/>
      <c r="AI215" s="240"/>
      <c r="AJ215" s="240"/>
      <c r="AK215" s="240"/>
      <c r="AL215" s="240"/>
      <c r="AM215" s="294"/>
      <c r="AN215" s="240"/>
      <c r="AO215" s="240"/>
      <c r="AP215" s="240"/>
      <c r="AQ215" s="294"/>
      <c r="AR215" s="240"/>
      <c r="AS215" s="240"/>
      <c r="AT215" s="240"/>
      <c r="AU215" s="240"/>
      <c r="AV215" s="240"/>
      <c r="AW215" s="240"/>
      <c r="AX215" s="240"/>
      <c r="AY215" s="240"/>
      <c r="AZ215" s="294"/>
      <c r="BA215" s="240"/>
      <c r="BB215" s="240"/>
      <c r="BC215" s="240"/>
      <c r="BD215" s="240"/>
      <c r="BE215" s="240"/>
      <c r="BF215" s="240"/>
      <c r="BG215" s="240"/>
      <c r="BH215" s="240"/>
      <c r="BI215" s="240"/>
      <c r="BJ215" s="240"/>
      <c r="BK215" s="240"/>
      <c r="BL215" s="240"/>
      <c r="BM215" s="240"/>
      <c r="BN215" s="240"/>
      <c r="BO215" s="240"/>
      <c r="BP215" s="294"/>
      <c r="BQ215" s="240"/>
      <c r="BR215" s="240"/>
      <c r="BS215" s="240"/>
      <c r="BT215" s="240"/>
      <c r="BU215" s="240"/>
      <c r="BV215" s="240"/>
      <c r="BW215" s="240"/>
      <c r="BX215" s="240"/>
      <c r="BY215" s="240"/>
      <c r="BZ215" s="240"/>
      <c r="CA215" s="240"/>
      <c r="CB215" s="240"/>
      <c r="CC215" s="240"/>
      <c r="CD215" s="240"/>
      <c r="CE215" s="240"/>
      <c r="CF215" s="294"/>
      <c r="CG215" s="240"/>
      <c r="CH215" s="240"/>
      <c r="CI215" s="240"/>
      <c r="CJ215" s="240"/>
      <c r="CK215" s="240"/>
      <c r="CL215" s="240"/>
      <c r="CM215" s="240"/>
      <c r="CN215" s="240"/>
      <c r="CO215" s="240"/>
      <c r="CP215" s="240"/>
      <c r="CQ215" s="240"/>
      <c r="CR215" s="240"/>
      <c r="CS215" s="294"/>
      <c r="CT215" s="240"/>
      <c r="CU215" s="240"/>
      <c r="CV215" s="240"/>
      <c r="CW215" s="240"/>
      <c r="CX215" s="240"/>
      <c r="CY215" s="240"/>
      <c r="CZ215" s="240"/>
      <c r="DA215" s="240"/>
      <c r="DB215" s="240"/>
      <c r="DC215" s="240"/>
      <c r="DD215" s="240"/>
      <c r="DE215" s="240"/>
      <c r="DF215" s="294"/>
      <c r="DG215" s="240"/>
      <c r="DH215" s="240"/>
      <c r="DI215" s="240"/>
      <c r="DJ215" s="240"/>
      <c r="DK215" s="240"/>
      <c r="DL215" s="240"/>
      <c r="DM215" s="240"/>
      <c r="DN215" s="240"/>
      <c r="DO215" s="240"/>
      <c r="DP215" s="240"/>
      <c r="DQ215" s="240"/>
      <c r="DR215" s="294"/>
      <c r="DS215" s="240"/>
      <c r="DT215" s="240"/>
      <c r="DU215" s="240"/>
      <c r="DV215" s="294"/>
      <c r="DW215" s="240"/>
      <c r="DX215" s="240"/>
      <c r="DY215" s="240"/>
      <c r="DZ215" s="240"/>
      <c r="EA215" s="240"/>
      <c r="EB215" s="240"/>
      <c r="EC215" s="240"/>
      <c r="ED215" s="240"/>
      <c r="EE215" s="240"/>
      <c r="EF215" s="294"/>
      <c r="EG215" s="240"/>
      <c r="EH215" s="240"/>
      <c r="EI215" s="240"/>
      <c r="EJ215" s="294"/>
      <c r="EK215" s="240"/>
      <c r="EL215" s="294"/>
      <c r="EM215" s="240"/>
      <c r="EN215" s="240"/>
      <c r="EO215" s="240"/>
      <c r="EP215" s="240"/>
      <c r="EQ215" s="240"/>
      <c r="ER215" s="240"/>
      <c r="ES215" s="240"/>
      <c r="ET215" s="240"/>
      <c r="EU215" s="240"/>
      <c r="EV215" s="240"/>
      <c r="EW215" s="240"/>
      <c r="EX215" s="294"/>
      <c r="EY215" s="240"/>
      <c r="EZ215" s="240"/>
      <c r="FA215" s="240"/>
      <c r="FB215" s="240"/>
      <c r="FC215" s="240"/>
      <c r="FD215" s="240"/>
      <c r="FE215" s="240"/>
      <c r="FF215" s="240"/>
      <c r="FG215" s="240"/>
      <c r="FH215" s="240"/>
      <c r="FI215" s="240"/>
      <c r="FJ215" s="240"/>
      <c r="FK215" s="240"/>
      <c r="FL215" s="240"/>
      <c r="FM215" s="240"/>
      <c r="FN215" s="240"/>
      <c r="FO215" s="294"/>
      <c r="FP215" s="240"/>
      <c r="FQ215" s="240"/>
      <c r="FR215" s="240"/>
      <c r="FS215" s="240"/>
      <c r="FT215" s="240"/>
      <c r="FU215" s="240"/>
      <c r="FV215" s="240"/>
      <c r="FW215" s="240"/>
      <c r="FX215" s="240"/>
      <c r="FY215" s="240"/>
      <c r="FZ215" s="294"/>
      <c r="GA215" s="240"/>
      <c r="GB215" s="240"/>
      <c r="GC215" s="294"/>
      <c r="GD215" s="240"/>
      <c r="GE215" s="240"/>
      <c r="GF215" s="240"/>
      <c r="GG215" s="240"/>
      <c r="GH215" s="294"/>
      <c r="GI215" s="240"/>
      <c r="GJ215" s="240"/>
      <c r="GK215" s="240"/>
      <c r="GL215" s="240"/>
      <c r="GM215" s="294"/>
      <c r="GN215" s="240"/>
      <c r="GO215" s="240"/>
      <c r="GP215" s="240"/>
      <c r="GQ215" s="240"/>
      <c r="GR215" s="240"/>
      <c r="GS215" s="240"/>
      <c r="GT215" s="240"/>
      <c r="GU215" s="240"/>
      <c r="GV215" s="240"/>
      <c r="GW215" s="240"/>
      <c r="GX215" s="240"/>
      <c r="GY215" s="240"/>
      <c r="GZ215" s="240"/>
      <c r="HA215" s="240"/>
      <c r="HB215" s="240"/>
      <c r="HC215" s="240"/>
      <c r="HD215" s="294"/>
      <c r="HE215" s="240"/>
      <c r="HF215" s="240"/>
      <c r="HG215" s="240"/>
      <c r="HH215" s="240"/>
      <c r="HI215" s="240"/>
      <c r="HJ215" s="294"/>
      <c r="HK215" s="240"/>
      <c r="HL215" s="294"/>
      <c r="HM215" s="241"/>
      <c r="HN215" s="235"/>
      <c r="HO215" s="235"/>
    </row>
    <row r="216" spans="2:225" ht="37.5" hidden="1" outlineLevel="2">
      <c r="B216" s="275"/>
      <c r="C216" s="258" t="s">
        <v>116</v>
      </c>
      <c r="D216" s="236" t="s">
        <v>3294</v>
      </c>
      <c r="E216" s="248"/>
      <c r="F216" s="314" t="str">
        <f>IF(E216='3. Dropdowns'!C252,"","Submittals, Execution")</f>
        <v>Submittals, Execution</v>
      </c>
      <c r="G216" s="268"/>
      <c r="H216" s="294"/>
      <c r="I216" s="291"/>
      <c r="J216" s="292"/>
      <c r="K216" s="292"/>
      <c r="L216" s="292"/>
      <c r="M216" s="292"/>
      <c r="N216" s="292"/>
      <c r="O216" s="292"/>
      <c r="P216" s="240" t="s">
        <v>890</v>
      </c>
      <c r="Q216" s="292"/>
      <c r="R216" s="292"/>
      <c r="S216" s="292"/>
      <c r="T216" s="240" t="s">
        <v>890</v>
      </c>
      <c r="U216" s="240"/>
      <c r="V216" s="240"/>
      <c r="W216" s="240"/>
      <c r="X216" s="294"/>
      <c r="Y216" s="240"/>
      <c r="Z216" s="240"/>
      <c r="AA216" s="240"/>
      <c r="AB216" s="240"/>
      <c r="AC216" s="240"/>
      <c r="AD216" s="240"/>
      <c r="AE216" s="240"/>
      <c r="AF216" s="240"/>
      <c r="AG216" s="240"/>
      <c r="AH216" s="294"/>
      <c r="AI216" s="240"/>
      <c r="AJ216" s="240"/>
      <c r="AK216" s="240"/>
      <c r="AL216" s="240"/>
      <c r="AM216" s="294"/>
      <c r="AN216" s="240"/>
      <c r="AO216" s="240"/>
      <c r="AP216" s="240"/>
      <c r="AQ216" s="294"/>
      <c r="AR216" s="240"/>
      <c r="AS216" s="240"/>
      <c r="AT216" s="240"/>
      <c r="AU216" s="240"/>
      <c r="AV216" s="240"/>
      <c r="AW216" s="240"/>
      <c r="AX216" s="240"/>
      <c r="AY216" s="240"/>
      <c r="AZ216" s="294"/>
      <c r="BA216" s="240"/>
      <c r="BB216" s="240"/>
      <c r="BC216" s="240"/>
      <c r="BD216" s="240"/>
      <c r="BE216" s="240"/>
      <c r="BF216" s="240"/>
      <c r="BG216" s="240"/>
      <c r="BH216" s="240"/>
      <c r="BI216" s="240"/>
      <c r="BJ216" s="240"/>
      <c r="BK216" s="240"/>
      <c r="BL216" s="240"/>
      <c r="BM216" s="240"/>
      <c r="BN216" s="240"/>
      <c r="BO216" s="240"/>
      <c r="BP216" s="294"/>
      <c r="BQ216" s="240"/>
      <c r="BR216" s="240"/>
      <c r="BS216" s="240"/>
      <c r="BT216" s="240"/>
      <c r="BU216" s="240"/>
      <c r="BV216" s="240"/>
      <c r="BW216" s="240"/>
      <c r="BX216" s="240"/>
      <c r="BY216" s="240"/>
      <c r="BZ216" s="240"/>
      <c r="CA216" s="240"/>
      <c r="CB216" s="240"/>
      <c r="CC216" s="240"/>
      <c r="CD216" s="240"/>
      <c r="CE216" s="240"/>
      <c r="CF216" s="294"/>
      <c r="CG216" s="240"/>
      <c r="CH216" s="240"/>
      <c r="CI216" s="240"/>
      <c r="CJ216" s="240"/>
      <c r="CK216" s="240"/>
      <c r="CL216" s="240"/>
      <c r="CM216" s="240"/>
      <c r="CN216" s="240"/>
      <c r="CO216" s="240"/>
      <c r="CP216" s="240"/>
      <c r="CQ216" s="240"/>
      <c r="CR216" s="240"/>
      <c r="CS216" s="294"/>
      <c r="CT216" s="240"/>
      <c r="CU216" s="240"/>
      <c r="CV216" s="240"/>
      <c r="CW216" s="240"/>
      <c r="CX216" s="240"/>
      <c r="CY216" s="240"/>
      <c r="CZ216" s="240"/>
      <c r="DA216" s="240"/>
      <c r="DB216" s="240"/>
      <c r="DC216" s="240"/>
      <c r="DD216" s="240"/>
      <c r="DE216" s="240"/>
      <c r="DF216" s="294"/>
      <c r="DG216" s="240"/>
      <c r="DH216" s="240"/>
      <c r="DI216" s="240"/>
      <c r="DJ216" s="240"/>
      <c r="DK216" s="240"/>
      <c r="DL216" s="240"/>
      <c r="DM216" s="240"/>
      <c r="DN216" s="240"/>
      <c r="DO216" s="240"/>
      <c r="DP216" s="240"/>
      <c r="DQ216" s="240"/>
      <c r="DR216" s="294"/>
      <c r="DS216" s="240"/>
      <c r="DT216" s="240"/>
      <c r="DU216" s="240"/>
      <c r="DV216" s="294"/>
      <c r="DW216" s="240"/>
      <c r="DX216" s="240"/>
      <c r="DY216" s="240"/>
      <c r="DZ216" s="240"/>
      <c r="EA216" s="240"/>
      <c r="EB216" s="240"/>
      <c r="EC216" s="240"/>
      <c r="ED216" s="240"/>
      <c r="EE216" s="240"/>
      <c r="EF216" s="294"/>
      <c r="EG216" s="240"/>
      <c r="EH216" s="240"/>
      <c r="EI216" s="240"/>
      <c r="EJ216" s="294"/>
      <c r="EK216" s="240"/>
      <c r="EL216" s="294"/>
      <c r="EM216" s="240"/>
      <c r="EN216" s="240"/>
      <c r="EO216" s="240"/>
      <c r="EP216" s="240"/>
      <c r="EQ216" s="240"/>
      <c r="ER216" s="240"/>
      <c r="ES216" s="240"/>
      <c r="ET216" s="240"/>
      <c r="EU216" s="240"/>
      <c r="EV216" s="240"/>
      <c r="EW216" s="240"/>
      <c r="EX216" s="294"/>
      <c r="EY216" s="240"/>
      <c r="EZ216" s="240"/>
      <c r="FA216" s="240"/>
      <c r="FB216" s="240"/>
      <c r="FC216" s="240"/>
      <c r="FD216" s="240"/>
      <c r="FE216" s="240"/>
      <c r="FF216" s="240"/>
      <c r="FG216" s="240"/>
      <c r="FH216" s="240"/>
      <c r="FI216" s="240"/>
      <c r="FJ216" s="240"/>
      <c r="FK216" s="240"/>
      <c r="FL216" s="240"/>
      <c r="FM216" s="240"/>
      <c r="FN216" s="240"/>
      <c r="FO216" s="294"/>
      <c r="FP216" s="240"/>
      <c r="FQ216" s="240"/>
      <c r="FR216" s="240"/>
      <c r="FS216" s="240"/>
      <c r="FT216" s="240"/>
      <c r="FU216" s="240"/>
      <c r="FV216" s="240"/>
      <c r="FW216" s="240"/>
      <c r="FX216" s="240"/>
      <c r="FY216" s="240"/>
      <c r="FZ216" s="294"/>
      <c r="GA216" s="240"/>
      <c r="GB216" s="240"/>
      <c r="GC216" s="294"/>
      <c r="GD216" s="240"/>
      <c r="GE216" s="240"/>
      <c r="GF216" s="240"/>
      <c r="GG216" s="240"/>
      <c r="GH216" s="294"/>
      <c r="GI216" s="240"/>
      <c r="GJ216" s="240"/>
      <c r="GK216" s="240"/>
      <c r="GL216" s="240"/>
      <c r="GM216" s="294"/>
      <c r="GN216" s="240"/>
      <c r="GO216" s="240"/>
      <c r="GP216" s="240"/>
      <c r="GQ216" s="240"/>
      <c r="GR216" s="240"/>
      <c r="GS216" s="240"/>
      <c r="GT216" s="240"/>
      <c r="GU216" s="240"/>
      <c r="GV216" s="240"/>
      <c r="GW216" s="240"/>
      <c r="GX216" s="240"/>
      <c r="GY216" s="240"/>
      <c r="GZ216" s="240"/>
      <c r="HA216" s="240"/>
      <c r="HB216" s="240"/>
      <c r="HC216" s="240"/>
      <c r="HD216" s="294"/>
      <c r="HE216" s="240"/>
      <c r="HF216" s="240"/>
      <c r="HG216" s="240"/>
      <c r="HH216" s="240"/>
      <c r="HI216" s="240"/>
      <c r="HJ216" s="294"/>
      <c r="HK216" s="240"/>
      <c r="HL216" s="294"/>
      <c r="HM216" s="241"/>
      <c r="HN216" s="235"/>
      <c r="HO216" s="235"/>
    </row>
    <row r="217" spans="2:225" ht="37.5" hidden="1" outlineLevel="2">
      <c r="B217" s="275"/>
      <c r="C217" s="258" t="s">
        <v>116</v>
      </c>
      <c r="D217" s="236" t="s">
        <v>3295</v>
      </c>
      <c r="E217" s="248"/>
      <c r="F217" s="314" t="str">
        <f>IF(E217='3. Dropdowns'!C252,"","Submittals, Execution")</f>
        <v>Submittals, Execution</v>
      </c>
      <c r="G217" s="268"/>
      <c r="H217" s="294"/>
      <c r="I217" s="291"/>
      <c r="J217" s="292"/>
      <c r="K217" s="292"/>
      <c r="L217" s="292"/>
      <c r="M217" s="292"/>
      <c r="N217" s="292"/>
      <c r="O217" s="292"/>
      <c r="P217" s="292"/>
      <c r="Q217" s="292"/>
      <c r="R217" s="292"/>
      <c r="S217" s="240" t="s">
        <v>890</v>
      </c>
      <c r="T217" s="240" t="s">
        <v>890</v>
      </c>
      <c r="U217" s="240"/>
      <c r="V217" s="240"/>
      <c r="W217" s="240"/>
      <c r="X217" s="294"/>
      <c r="Y217" s="240"/>
      <c r="Z217" s="240"/>
      <c r="AA217" s="240"/>
      <c r="AB217" s="240"/>
      <c r="AC217" s="240"/>
      <c r="AD217" s="240" t="s">
        <v>890</v>
      </c>
      <c r="AE217" s="240"/>
      <c r="AF217" s="240"/>
      <c r="AG217" s="240"/>
      <c r="AH217" s="294"/>
      <c r="AI217" s="240"/>
      <c r="AJ217" s="240"/>
      <c r="AK217" s="240"/>
      <c r="AL217" s="240"/>
      <c r="AM217" s="294"/>
      <c r="AN217" s="240"/>
      <c r="AO217" s="240"/>
      <c r="AP217" s="240"/>
      <c r="AQ217" s="294"/>
      <c r="AR217" s="240"/>
      <c r="AS217" s="240"/>
      <c r="AT217" s="240"/>
      <c r="AU217" s="240"/>
      <c r="AV217" s="240"/>
      <c r="AW217" s="240"/>
      <c r="AX217" s="240"/>
      <c r="AY217" s="240"/>
      <c r="AZ217" s="294"/>
      <c r="BA217" s="240"/>
      <c r="BB217" s="240"/>
      <c r="BC217" s="240"/>
      <c r="BD217" s="240"/>
      <c r="BE217" s="240"/>
      <c r="BF217" s="240"/>
      <c r="BG217" s="240"/>
      <c r="BH217" s="240"/>
      <c r="BI217" s="240"/>
      <c r="BJ217" s="240"/>
      <c r="BK217" s="240"/>
      <c r="BL217" s="240"/>
      <c r="BM217" s="240"/>
      <c r="BN217" s="240"/>
      <c r="BO217" s="240"/>
      <c r="BP217" s="294"/>
      <c r="BQ217" s="240"/>
      <c r="BR217" s="240"/>
      <c r="BS217" s="240"/>
      <c r="BT217" s="240"/>
      <c r="BU217" s="240"/>
      <c r="BV217" s="240"/>
      <c r="BW217" s="240"/>
      <c r="BX217" s="240"/>
      <c r="BY217" s="240"/>
      <c r="BZ217" s="240"/>
      <c r="CA217" s="240"/>
      <c r="CB217" s="240"/>
      <c r="CC217" s="240"/>
      <c r="CD217" s="240"/>
      <c r="CE217" s="240"/>
      <c r="CF217" s="294"/>
      <c r="CG217" s="240"/>
      <c r="CH217" s="240"/>
      <c r="CI217" s="240"/>
      <c r="CJ217" s="240"/>
      <c r="CK217" s="240"/>
      <c r="CL217" s="240"/>
      <c r="CM217" s="240"/>
      <c r="CN217" s="240"/>
      <c r="CO217" s="240"/>
      <c r="CP217" s="240"/>
      <c r="CQ217" s="240"/>
      <c r="CR217" s="240"/>
      <c r="CS217" s="294"/>
      <c r="CT217" s="240"/>
      <c r="CU217" s="240"/>
      <c r="CV217" s="240"/>
      <c r="CW217" s="240"/>
      <c r="CX217" s="240"/>
      <c r="CY217" s="240"/>
      <c r="CZ217" s="240"/>
      <c r="DA217" s="240"/>
      <c r="DB217" s="240"/>
      <c r="DC217" s="240"/>
      <c r="DD217" s="240"/>
      <c r="DE217" s="240"/>
      <c r="DF217" s="294"/>
      <c r="DG217" s="240"/>
      <c r="DH217" s="240"/>
      <c r="DI217" s="240"/>
      <c r="DJ217" s="240"/>
      <c r="DK217" s="240"/>
      <c r="DL217" s="240"/>
      <c r="DM217" s="240"/>
      <c r="DN217" s="240"/>
      <c r="DO217" s="240"/>
      <c r="DP217" s="240"/>
      <c r="DQ217" s="240"/>
      <c r="DR217" s="294"/>
      <c r="DS217" s="240"/>
      <c r="DT217" s="240"/>
      <c r="DU217" s="240"/>
      <c r="DV217" s="294"/>
      <c r="DW217" s="240"/>
      <c r="DX217" s="240"/>
      <c r="DY217" s="240"/>
      <c r="DZ217" s="240"/>
      <c r="EA217" s="240"/>
      <c r="EB217" s="240"/>
      <c r="EC217" s="240"/>
      <c r="ED217" s="240"/>
      <c r="EE217" s="240"/>
      <c r="EF217" s="294"/>
      <c r="EG217" s="240"/>
      <c r="EH217" s="240"/>
      <c r="EI217" s="240"/>
      <c r="EJ217" s="294"/>
      <c r="EK217" s="240"/>
      <c r="EL217" s="294"/>
      <c r="EM217" s="240"/>
      <c r="EN217" s="240"/>
      <c r="EO217" s="240"/>
      <c r="EP217" s="240"/>
      <c r="EQ217" s="240"/>
      <c r="ER217" s="240"/>
      <c r="ES217" s="240"/>
      <c r="ET217" s="240"/>
      <c r="EU217" s="240"/>
      <c r="EV217" s="240"/>
      <c r="EW217" s="240"/>
      <c r="EX217" s="294"/>
      <c r="EY217" s="240"/>
      <c r="EZ217" s="240"/>
      <c r="FA217" s="240"/>
      <c r="FB217" s="240"/>
      <c r="FC217" s="240"/>
      <c r="FD217" s="240"/>
      <c r="FE217" s="240"/>
      <c r="FF217" s="240"/>
      <c r="FG217" s="240"/>
      <c r="FH217" s="240"/>
      <c r="FI217" s="240"/>
      <c r="FJ217" s="240"/>
      <c r="FK217" s="240"/>
      <c r="FL217" s="240"/>
      <c r="FM217" s="240"/>
      <c r="FN217" s="240"/>
      <c r="FO217" s="294"/>
      <c r="FP217" s="240"/>
      <c r="FQ217" s="240"/>
      <c r="FR217" s="240"/>
      <c r="FS217" s="240"/>
      <c r="FT217" s="240"/>
      <c r="FU217" s="240"/>
      <c r="FV217" s="240"/>
      <c r="FW217" s="240"/>
      <c r="FX217" s="240"/>
      <c r="FY217" s="240"/>
      <c r="FZ217" s="294"/>
      <c r="GA217" s="240"/>
      <c r="GB217" s="240"/>
      <c r="GC217" s="294"/>
      <c r="GD217" s="240"/>
      <c r="GE217" s="240"/>
      <c r="GF217" s="240"/>
      <c r="GG217" s="240"/>
      <c r="GH217" s="294"/>
      <c r="GI217" s="240"/>
      <c r="GJ217" s="240"/>
      <c r="GK217" s="240"/>
      <c r="GL217" s="240"/>
      <c r="GM217" s="294"/>
      <c r="GN217" s="240"/>
      <c r="GO217" s="240"/>
      <c r="GP217" s="240"/>
      <c r="GQ217" s="240"/>
      <c r="GR217" s="240"/>
      <c r="GS217" s="240"/>
      <c r="GT217" s="240"/>
      <c r="GU217" s="240"/>
      <c r="GV217" s="240"/>
      <c r="GW217" s="240"/>
      <c r="GX217" s="240"/>
      <c r="GY217" s="240"/>
      <c r="GZ217" s="240"/>
      <c r="HA217" s="240"/>
      <c r="HB217" s="240"/>
      <c r="HC217" s="240"/>
      <c r="HD217" s="294"/>
      <c r="HE217" s="240"/>
      <c r="HF217" s="240"/>
      <c r="HG217" s="240"/>
      <c r="HH217" s="240"/>
      <c r="HI217" s="240"/>
      <c r="HJ217" s="294"/>
      <c r="HK217" s="240"/>
      <c r="HL217" s="294"/>
      <c r="HM217" s="241"/>
      <c r="HN217" s="235"/>
      <c r="HO217" s="235"/>
    </row>
    <row r="218" spans="2:225" ht="37.5" hidden="1" outlineLevel="2">
      <c r="B218" s="275"/>
      <c r="C218" s="258" t="s">
        <v>116</v>
      </c>
      <c r="D218" s="236" t="s">
        <v>3399</v>
      </c>
      <c r="E218" s="248"/>
      <c r="F218" s="314" t="str">
        <f>IF(E218='3. Dropdowns'!C252,"","Submittals, Products, Execution")</f>
        <v>Submittals, Products, Execution</v>
      </c>
      <c r="G218" s="268"/>
      <c r="H218" s="294"/>
      <c r="I218" s="291"/>
      <c r="J218" s="292"/>
      <c r="K218" s="292"/>
      <c r="L218" s="292"/>
      <c r="M218" s="292"/>
      <c r="N218" s="292"/>
      <c r="O218" s="292"/>
      <c r="P218" s="292"/>
      <c r="Q218" s="292"/>
      <c r="R218" s="292"/>
      <c r="S218" s="240" t="s">
        <v>890</v>
      </c>
      <c r="T218" s="240" t="s">
        <v>890</v>
      </c>
      <c r="U218" s="240"/>
      <c r="V218" s="240"/>
      <c r="W218" s="240"/>
      <c r="X218" s="294"/>
      <c r="Y218" s="240"/>
      <c r="Z218" s="240"/>
      <c r="AA218" s="240"/>
      <c r="AB218" s="240"/>
      <c r="AC218" s="240"/>
      <c r="AD218" s="240" t="s">
        <v>890</v>
      </c>
      <c r="AE218" s="240"/>
      <c r="AF218" s="240"/>
      <c r="AG218" s="240"/>
      <c r="AH218" s="294"/>
      <c r="AI218" s="240"/>
      <c r="AJ218" s="240"/>
      <c r="AK218" s="240"/>
      <c r="AL218" s="240"/>
      <c r="AM218" s="294"/>
      <c r="AN218" s="240"/>
      <c r="AO218" s="240"/>
      <c r="AP218" s="240"/>
      <c r="AQ218" s="294"/>
      <c r="AR218" s="240"/>
      <c r="AS218" s="240"/>
      <c r="AT218" s="240"/>
      <c r="AU218" s="240"/>
      <c r="AV218" s="240"/>
      <c r="AW218" s="240"/>
      <c r="AX218" s="240"/>
      <c r="AY218" s="240"/>
      <c r="AZ218" s="294"/>
      <c r="BA218" s="240"/>
      <c r="BB218" s="240"/>
      <c r="BC218" s="240"/>
      <c r="BD218" s="240"/>
      <c r="BE218" s="240"/>
      <c r="BF218" s="240"/>
      <c r="BG218" s="240"/>
      <c r="BH218" s="240"/>
      <c r="BI218" s="240"/>
      <c r="BJ218" s="240"/>
      <c r="BK218" s="240"/>
      <c r="BL218" s="240"/>
      <c r="BM218" s="240"/>
      <c r="BN218" s="240"/>
      <c r="BO218" s="240"/>
      <c r="BP218" s="294"/>
      <c r="BQ218" s="240"/>
      <c r="BR218" s="240"/>
      <c r="BS218" s="240"/>
      <c r="BT218" s="240"/>
      <c r="BU218" s="240"/>
      <c r="BV218" s="240"/>
      <c r="BW218" s="240"/>
      <c r="BX218" s="240"/>
      <c r="BY218" s="240"/>
      <c r="BZ218" s="240"/>
      <c r="CA218" s="240"/>
      <c r="CB218" s="240"/>
      <c r="CC218" s="240"/>
      <c r="CD218" s="240"/>
      <c r="CE218" s="240"/>
      <c r="CF218" s="294"/>
      <c r="CG218" s="240"/>
      <c r="CH218" s="240"/>
      <c r="CI218" s="240"/>
      <c r="CJ218" s="240"/>
      <c r="CK218" s="240"/>
      <c r="CL218" s="240"/>
      <c r="CM218" s="240"/>
      <c r="CN218" s="240"/>
      <c r="CO218" s="240"/>
      <c r="CP218" s="240"/>
      <c r="CQ218" s="240"/>
      <c r="CR218" s="240"/>
      <c r="CS218" s="294"/>
      <c r="CT218" s="240"/>
      <c r="CU218" s="240"/>
      <c r="CV218" s="240"/>
      <c r="CW218" s="240"/>
      <c r="CX218" s="240"/>
      <c r="CY218" s="240"/>
      <c r="CZ218" s="240"/>
      <c r="DA218" s="240"/>
      <c r="DB218" s="240"/>
      <c r="DC218" s="240"/>
      <c r="DD218" s="240"/>
      <c r="DE218" s="240"/>
      <c r="DF218" s="294"/>
      <c r="DG218" s="240"/>
      <c r="DH218" s="240"/>
      <c r="DI218" s="240"/>
      <c r="DJ218" s="240"/>
      <c r="DK218" s="240"/>
      <c r="DL218" s="240"/>
      <c r="DM218" s="240"/>
      <c r="DN218" s="240"/>
      <c r="DO218" s="240"/>
      <c r="DP218" s="240"/>
      <c r="DQ218" s="240"/>
      <c r="DR218" s="294"/>
      <c r="DS218" s="240"/>
      <c r="DT218" s="240"/>
      <c r="DU218" s="240"/>
      <c r="DV218" s="294"/>
      <c r="DW218" s="240"/>
      <c r="DX218" s="240"/>
      <c r="DY218" s="240"/>
      <c r="DZ218" s="240"/>
      <c r="EA218" s="240"/>
      <c r="EB218" s="240"/>
      <c r="EC218" s="240"/>
      <c r="ED218" s="240"/>
      <c r="EE218" s="240"/>
      <c r="EF218" s="294"/>
      <c r="EG218" s="240"/>
      <c r="EH218" s="240"/>
      <c r="EI218" s="240"/>
      <c r="EJ218" s="294"/>
      <c r="EK218" s="240"/>
      <c r="EL218" s="294"/>
      <c r="EM218" s="240"/>
      <c r="EN218" s="240"/>
      <c r="EO218" s="240"/>
      <c r="EP218" s="240"/>
      <c r="EQ218" s="240"/>
      <c r="ER218" s="240"/>
      <c r="ES218" s="240"/>
      <c r="ET218" s="240"/>
      <c r="EU218" s="240"/>
      <c r="EV218" s="240"/>
      <c r="EW218" s="240"/>
      <c r="EX218" s="294"/>
      <c r="EY218" s="240"/>
      <c r="EZ218" s="240"/>
      <c r="FA218" s="240"/>
      <c r="FB218" s="240"/>
      <c r="FC218" s="240"/>
      <c r="FD218" s="240"/>
      <c r="FE218" s="240"/>
      <c r="FF218" s="240"/>
      <c r="FG218" s="240"/>
      <c r="FH218" s="240"/>
      <c r="FI218" s="240"/>
      <c r="FJ218" s="240"/>
      <c r="FK218" s="240"/>
      <c r="FL218" s="240"/>
      <c r="FM218" s="240"/>
      <c r="FN218" s="240"/>
      <c r="FO218" s="294"/>
      <c r="FP218" s="240"/>
      <c r="FQ218" s="240"/>
      <c r="FR218" s="240"/>
      <c r="FS218" s="240"/>
      <c r="FT218" s="240"/>
      <c r="FU218" s="240"/>
      <c r="FV218" s="240"/>
      <c r="FW218" s="240"/>
      <c r="FX218" s="240"/>
      <c r="FY218" s="240"/>
      <c r="FZ218" s="294"/>
      <c r="GA218" s="240"/>
      <c r="GB218" s="240"/>
      <c r="GC218" s="294"/>
      <c r="GD218" s="240"/>
      <c r="GE218" s="240"/>
      <c r="GF218" s="240"/>
      <c r="GG218" s="240"/>
      <c r="GH218" s="294"/>
      <c r="GI218" s="240"/>
      <c r="GJ218" s="240"/>
      <c r="GK218" s="240"/>
      <c r="GL218" s="240"/>
      <c r="GM218" s="294"/>
      <c r="GN218" s="240"/>
      <c r="GO218" s="240"/>
      <c r="GP218" s="240"/>
      <c r="GQ218" s="240"/>
      <c r="GR218" s="240"/>
      <c r="GS218" s="240"/>
      <c r="GT218" s="240"/>
      <c r="GU218" s="240"/>
      <c r="GV218" s="240"/>
      <c r="GW218" s="240"/>
      <c r="GX218" s="240"/>
      <c r="GY218" s="240"/>
      <c r="GZ218" s="240"/>
      <c r="HA218" s="240"/>
      <c r="HB218" s="240"/>
      <c r="HC218" s="240"/>
      <c r="HD218" s="294"/>
      <c r="HE218" s="240"/>
      <c r="HF218" s="240"/>
      <c r="HG218" s="240"/>
      <c r="HH218" s="240"/>
      <c r="HI218" s="240"/>
      <c r="HJ218" s="294"/>
      <c r="HK218" s="240"/>
      <c r="HL218" s="294"/>
      <c r="HM218" s="241"/>
      <c r="HN218" s="235"/>
      <c r="HO218" s="235"/>
    </row>
    <row r="219" spans="2:225" ht="37.5" hidden="1" outlineLevel="2">
      <c r="B219" s="275"/>
      <c r="C219" s="258" t="s">
        <v>116</v>
      </c>
      <c r="D219" s="236" t="s">
        <v>3400</v>
      </c>
      <c r="E219" s="248"/>
      <c r="F219" s="314" t="str">
        <f>IF(E219='3. Dropdowns'!C252,"","Submittals, Execution")</f>
        <v>Submittals, Execution</v>
      </c>
      <c r="G219" s="268"/>
      <c r="H219" s="294"/>
      <c r="I219" s="291"/>
      <c r="J219" s="292"/>
      <c r="K219" s="292"/>
      <c r="L219" s="292"/>
      <c r="M219" s="292"/>
      <c r="N219" s="292"/>
      <c r="O219" s="292"/>
      <c r="P219" s="292"/>
      <c r="Q219" s="292"/>
      <c r="R219" s="292"/>
      <c r="S219" s="292"/>
      <c r="T219" s="240" t="s">
        <v>890</v>
      </c>
      <c r="U219" s="240"/>
      <c r="V219" s="240"/>
      <c r="W219" s="240"/>
      <c r="X219" s="294"/>
      <c r="Y219" s="240"/>
      <c r="Z219" s="240"/>
      <c r="AA219" s="240"/>
      <c r="AB219" s="240"/>
      <c r="AC219" s="240"/>
      <c r="AD219" s="240" t="s">
        <v>890</v>
      </c>
      <c r="AE219" s="240"/>
      <c r="AF219" s="240"/>
      <c r="AG219" s="240"/>
      <c r="AH219" s="294"/>
      <c r="AI219" s="240"/>
      <c r="AJ219" s="240"/>
      <c r="AK219" s="240"/>
      <c r="AL219" s="240"/>
      <c r="AM219" s="294"/>
      <c r="AN219" s="240"/>
      <c r="AO219" s="240"/>
      <c r="AP219" s="240"/>
      <c r="AQ219" s="294"/>
      <c r="AR219" s="240"/>
      <c r="AS219" s="240"/>
      <c r="AT219" s="240"/>
      <c r="AU219" s="240"/>
      <c r="AV219" s="240"/>
      <c r="AW219" s="240"/>
      <c r="AX219" s="240"/>
      <c r="AY219" s="240"/>
      <c r="AZ219" s="294"/>
      <c r="BA219" s="240"/>
      <c r="BB219" s="240"/>
      <c r="BC219" s="240"/>
      <c r="BD219" s="240"/>
      <c r="BE219" s="240"/>
      <c r="BF219" s="240"/>
      <c r="BG219" s="240"/>
      <c r="BH219" s="240"/>
      <c r="BI219" s="240"/>
      <c r="BJ219" s="240"/>
      <c r="BK219" s="240"/>
      <c r="BL219" s="240"/>
      <c r="BM219" s="240"/>
      <c r="BN219" s="240"/>
      <c r="BO219" s="240"/>
      <c r="BP219" s="294"/>
      <c r="BQ219" s="240"/>
      <c r="BR219" s="240"/>
      <c r="BS219" s="240"/>
      <c r="BT219" s="240"/>
      <c r="BU219" s="240"/>
      <c r="BV219" s="240"/>
      <c r="BW219" s="240"/>
      <c r="BX219" s="240"/>
      <c r="BY219" s="240"/>
      <c r="BZ219" s="240"/>
      <c r="CA219" s="240"/>
      <c r="CB219" s="240"/>
      <c r="CC219" s="240"/>
      <c r="CD219" s="240"/>
      <c r="CE219" s="240"/>
      <c r="CF219" s="294"/>
      <c r="CG219" s="240"/>
      <c r="CH219" s="240"/>
      <c r="CI219" s="240"/>
      <c r="CJ219" s="240"/>
      <c r="CK219" s="240"/>
      <c r="CL219" s="240"/>
      <c r="CM219" s="240"/>
      <c r="CN219" s="240"/>
      <c r="CO219" s="240"/>
      <c r="CP219" s="240"/>
      <c r="CQ219" s="240"/>
      <c r="CR219" s="240"/>
      <c r="CS219" s="294"/>
      <c r="CT219" s="240"/>
      <c r="CU219" s="240"/>
      <c r="CV219" s="240"/>
      <c r="CW219" s="240"/>
      <c r="CX219" s="240"/>
      <c r="CY219" s="240"/>
      <c r="CZ219" s="240"/>
      <c r="DA219" s="240"/>
      <c r="DB219" s="240"/>
      <c r="DC219" s="240"/>
      <c r="DD219" s="240"/>
      <c r="DE219" s="240"/>
      <c r="DF219" s="294"/>
      <c r="DG219" s="240"/>
      <c r="DH219" s="240"/>
      <c r="DI219" s="240"/>
      <c r="DJ219" s="240"/>
      <c r="DK219" s="240"/>
      <c r="DL219" s="240"/>
      <c r="DM219" s="240"/>
      <c r="DN219" s="240"/>
      <c r="DO219" s="240"/>
      <c r="DP219" s="240"/>
      <c r="DQ219" s="240"/>
      <c r="DR219" s="294"/>
      <c r="DS219" s="240"/>
      <c r="DT219" s="240"/>
      <c r="DU219" s="240"/>
      <c r="DV219" s="294"/>
      <c r="DW219" s="240"/>
      <c r="DX219" s="240"/>
      <c r="DY219" s="240"/>
      <c r="DZ219" s="240"/>
      <c r="EA219" s="240"/>
      <c r="EB219" s="240"/>
      <c r="EC219" s="240"/>
      <c r="ED219" s="240"/>
      <c r="EE219" s="240"/>
      <c r="EF219" s="294"/>
      <c r="EG219" s="240"/>
      <c r="EH219" s="240"/>
      <c r="EI219" s="240"/>
      <c r="EJ219" s="294"/>
      <c r="EK219" s="240"/>
      <c r="EL219" s="294"/>
      <c r="EM219" s="240"/>
      <c r="EN219" s="240"/>
      <c r="EO219" s="240"/>
      <c r="EP219" s="240"/>
      <c r="EQ219" s="240"/>
      <c r="ER219" s="240"/>
      <c r="ES219" s="240"/>
      <c r="ET219" s="240"/>
      <c r="EU219" s="240"/>
      <c r="EV219" s="240"/>
      <c r="EW219" s="240"/>
      <c r="EX219" s="294"/>
      <c r="EY219" s="240"/>
      <c r="EZ219" s="240"/>
      <c r="FA219" s="240"/>
      <c r="FB219" s="240"/>
      <c r="FC219" s="240"/>
      <c r="FD219" s="240"/>
      <c r="FE219" s="240"/>
      <c r="FF219" s="240"/>
      <c r="FG219" s="240"/>
      <c r="FH219" s="240"/>
      <c r="FI219" s="240"/>
      <c r="FJ219" s="240"/>
      <c r="FK219" s="240"/>
      <c r="FL219" s="240"/>
      <c r="FM219" s="240"/>
      <c r="FN219" s="240"/>
      <c r="FO219" s="294"/>
      <c r="FP219" s="240"/>
      <c r="FQ219" s="240"/>
      <c r="FR219" s="240"/>
      <c r="FS219" s="240"/>
      <c r="FT219" s="240"/>
      <c r="FU219" s="240"/>
      <c r="FV219" s="240"/>
      <c r="FW219" s="240"/>
      <c r="FX219" s="240"/>
      <c r="FY219" s="240"/>
      <c r="FZ219" s="294"/>
      <c r="GA219" s="240"/>
      <c r="GB219" s="240"/>
      <c r="GC219" s="294"/>
      <c r="GD219" s="240"/>
      <c r="GE219" s="240"/>
      <c r="GF219" s="240"/>
      <c r="GG219" s="240"/>
      <c r="GH219" s="294"/>
      <c r="GI219" s="240"/>
      <c r="GJ219" s="240"/>
      <c r="GK219" s="240"/>
      <c r="GL219" s="240"/>
      <c r="GM219" s="294"/>
      <c r="GN219" s="240"/>
      <c r="GO219" s="240"/>
      <c r="GP219" s="240"/>
      <c r="GQ219" s="240"/>
      <c r="GR219" s="240"/>
      <c r="GS219" s="240"/>
      <c r="GT219" s="240"/>
      <c r="GU219" s="240"/>
      <c r="GV219" s="240"/>
      <c r="GW219" s="240"/>
      <c r="GX219" s="240"/>
      <c r="GY219" s="240"/>
      <c r="GZ219" s="240"/>
      <c r="HA219" s="240"/>
      <c r="HB219" s="240"/>
      <c r="HC219" s="240"/>
      <c r="HD219" s="294"/>
      <c r="HE219" s="240"/>
      <c r="HF219" s="240"/>
      <c r="HG219" s="240"/>
      <c r="HH219" s="240"/>
      <c r="HI219" s="240"/>
      <c r="HJ219" s="294"/>
      <c r="HK219" s="240"/>
      <c r="HL219" s="294"/>
      <c r="HM219" s="241"/>
      <c r="HN219" s="235"/>
      <c r="HO219" s="235"/>
    </row>
    <row r="220" spans="2:225" ht="37.5" hidden="1" outlineLevel="2">
      <c r="B220" s="275"/>
      <c r="C220" s="258" t="s">
        <v>116</v>
      </c>
      <c r="D220" s="236" t="s">
        <v>3401</v>
      </c>
      <c r="E220" s="248"/>
      <c r="F220" s="314" t="str">
        <f>IF(E220='3. Dropdowns'!C252,"","Submittals, Products, Execution")</f>
        <v>Submittals, Products, Execution</v>
      </c>
      <c r="G220" s="268"/>
      <c r="H220" s="294"/>
      <c r="I220" s="291"/>
      <c r="J220" s="292"/>
      <c r="K220" s="292"/>
      <c r="L220" s="292"/>
      <c r="M220" s="292"/>
      <c r="N220" s="292"/>
      <c r="O220" s="292"/>
      <c r="P220" s="292"/>
      <c r="Q220" s="292"/>
      <c r="R220" s="292"/>
      <c r="S220" s="292"/>
      <c r="T220" s="240" t="s">
        <v>890</v>
      </c>
      <c r="U220" s="240"/>
      <c r="V220" s="240"/>
      <c r="W220" s="240"/>
      <c r="X220" s="294"/>
      <c r="Y220" s="240"/>
      <c r="Z220" s="240"/>
      <c r="AA220" s="240"/>
      <c r="AB220" s="240"/>
      <c r="AC220" s="240"/>
      <c r="AD220" s="240" t="s">
        <v>890</v>
      </c>
      <c r="AE220" s="240"/>
      <c r="AF220" s="240"/>
      <c r="AG220" s="240"/>
      <c r="AH220" s="294"/>
      <c r="AI220" s="240"/>
      <c r="AJ220" s="240"/>
      <c r="AK220" s="240"/>
      <c r="AL220" s="240"/>
      <c r="AM220" s="294"/>
      <c r="AN220" s="240"/>
      <c r="AO220" s="240"/>
      <c r="AP220" s="240"/>
      <c r="AQ220" s="294"/>
      <c r="AR220" s="240"/>
      <c r="AS220" s="240"/>
      <c r="AT220" s="240"/>
      <c r="AU220" s="240"/>
      <c r="AV220" s="240"/>
      <c r="AW220" s="240"/>
      <c r="AX220" s="240"/>
      <c r="AY220" s="240"/>
      <c r="AZ220" s="294"/>
      <c r="BA220" s="240"/>
      <c r="BB220" s="240"/>
      <c r="BC220" s="240"/>
      <c r="BD220" s="240"/>
      <c r="BE220" s="240"/>
      <c r="BF220" s="240"/>
      <c r="BG220" s="240"/>
      <c r="BH220" s="240"/>
      <c r="BI220" s="240"/>
      <c r="BJ220" s="240"/>
      <c r="BK220" s="240"/>
      <c r="BL220" s="240"/>
      <c r="BM220" s="240"/>
      <c r="BN220" s="240"/>
      <c r="BO220" s="240"/>
      <c r="BP220" s="294"/>
      <c r="BQ220" s="240"/>
      <c r="BR220" s="240"/>
      <c r="BS220" s="240"/>
      <c r="BT220" s="240"/>
      <c r="BU220" s="240"/>
      <c r="BV220" s="240"/>
      <c r="BW220" s="240"/>
      <c r="BX220" s="240"/>
      <c r="BY220" s="240"/>
      <c r="BZ220" s="240"/>
      <c r="CA220" s="240"/>
      <c r="CB220" s="240"/>
      <c r="CC220" s="240"/>
      <c r="CD220" s="240"/>
      <c r="CE220" s="240"/>
      <c r="CF220" s="294"/>
      <c r="CG220" s="240"/>
      <c r="CH220" s="240"/>
      <c r="CI220" s="240"/>
      <c r="CJ220" s="240"/>
      <c r="CK220" s="240"/>
      <c r="CL220" s="240"/>
      <c r="CM220" s="240"/>
      <c r="CN220" s="240"/>
      <c r="CO220" s="240"/>
      <c r="CP220" s="240"/>
      <c r="CQ220" s="240"/>
      <c r="CR220" s="240"/>
      <c r="CS220" s="294"/>
      <c r="CT220" s="240"/>
      <c r="CU220" s="240"/>
      <c r="CV220" s="240"/>
      <c r="CW220" s="240"/>
      <c r="CX220" s="240"/>
      <c r="CY220" s="240"/>
      <c r="CZ220" s="240"/>
      <c r="DA220" s="240"/>
      <c r="DB220" s="240"/>
      <c r="DC220" s="240"/>
      <c r="DD220" s="240"/>
      <c r="DE220" s="240"/>
      <c r="DF220" s="294"/>
      <c r="DG220" s="240"/>
      <c r="DH220" s="240"/>
      <c r="DI220" s="240"/>
      <c r="DJ220" s="240"/>
      <c r="DK220" s="240"/>
      <c r="DL220" s="240"/>
      <c r="DM220" s="240"/>
      <c r="DN220" s="240"/>
      <c r="DO220" s="240"/>
      <c r="DP220" s="240"/>
      <c r="DQ220" s="240"/>
      <c r="DR220" s="294"/>
      <c r="DS220" s="240"/>
      <c r="DT220" s="240"/>
      <c r="DU220" s="240"/>
      <c r="DV220" s="294"/>
      <c r="DW220" s="240"/>
      <c r="DX220" s="240"/>
      <c r="DY220" s="240"/>
      <c r="DZ220" s="240"/>
      <c r="EA220" s="240"/>
      <c r="EB220" s="240"/>
      <c r="EC220" s="240"/>
      <c r="ED220" s="240"/>
      <c r="EE220" s="240"/>
      <c r="EF220" s="294"/>
      <c r="EG220" s="240"/>
      <c r="EH220" s="240"/>
      <c r="EI220" s="240"/>
      <c r="EJ220" s="294"/>
      <c r="EK220" s="240"/>
      <c r="EL220" s="294"/>
      <c r="EM220" s="240"/>
      <c r="EN220" s="240"/>
      <c r="EO220" s="240"/>
      <c r="EP220" s="240"/>
      <c r="EQ220" s="240"/>
      <c r="ER220" s="240"/>
      <c r="ES220" s="240"/>
      <c r="ET220" s="240"/>
      <c r="EU220" s="240"/>
      <c r="EV220" s="240"/>
      <c r="EW220" s="240"/>
      <c r="EX220" s="294"/>
      <c r="EY220" s="240"/>
      <c r="EZ220" s="240"/>
      <c r="FA220" s="240"/>
      <c r="FB220" s="240"/>
      <c r="FC220" s="240"/>
      <c r="FD220" s="240"/>
      <c r="FE220" s="240"/>
      <c r="FF220" s="240"/>
      <c r="FG220" s="240"/>
      <c r="FH220" s="240"/>
      <c r="FI220" s="240"/>
      <c r="FJ220" s="240"/>
      <c r="FK220" s="240"/>
      <c r="FL220" s="240"/>
      <c r="FM220" s="240"/>
      <c r="FN220" s="240"/>
      <c r="FO220" s="294"/>
      <c r="FP220" s="240"/>
      <c r="FQ220" s="240"/>
      <c r="FR220" s="240"/>
      <c r="FS220" s="240"/>
      <c r="FT220" s="240"/>
      <c r="FU220" s="240"/>
      <c r="FV220" s="240"/>
      <c r="FW220" s="240"/>
      <c r="FX220" s="240"/>
      <c r="FY220" s="240"/>
      <c r="FZ220" s="294"/>
      <c r="GA220" s="240"/>
      <c r="GB220" s="240"/>
      <c r="GC220" s="294"/>
      <c r="GD220" s="240"/>
      <c r="GE220" s="240"/>
      <c r="GF220" s="240"/>
      <c r="GG220" s="240"/>
      <c r="GH220" s="294"/>
      <c r="GI220" s="240"/>
      <c r="GJ220" s="240"/>
      <c r="GK220" s="240"/>
      <c r="GL220" s="240"/>
      <c r="GM220" s="294"/>
      <c r="GN220" s="240"/>
      <c r="GO220" s="240"/>
      <c r="GP220" s="240"/>
      <c r="GQ220" s="240"/>
      <c r="GR220" s="240"/>
      <c r="GS220" s="240"/>
      <c r="GT220" s="240"/>
      <c r="GU220" s="240"/>
      <c r="GV220" s="240"/>
      <c r="GW220" s="240"/>
      <c r="GX220" s="240"/>
      <c r="GY220" s="240"/>
      <c r="GZ220" s="240"/>
      <c r="HA220" s="240"/>
      <c r="HB220" s="240"/>
      <c r="HC220" s="240"/>
      <c r="HD220" s="294"/>
      <c r="HE220" s="240"/>
      <c r="HF220" s="240"/>
      <c r="HG220" s="240"/>
      <c r="HH220" s="240"/>
      <c r="HI220" s="240"/>
      <c r="HJ220" s="294"/>
      <c r="HK220" s="240"/>
      <c r="HL220" s="294"/>
      <c r="HM220" s="241"/>
      <c r="HN220" s="235"/>
      <c r="HO220" s="235"/>
    </row>
    <row r="221" spans="2:225" hidden="1" outlineLevel="1" collapsed="1">
      <c r="B221" s="303" t="s">
        <v>1040</v>
      </c>
      <c r="C221" s="252" t="str">
        <f>IF(OR(D5='3. Dropdowns'!C7,D5='3. Dropdowns'!C9,D6='3. Dropdowns'!C15,D6='3. Dropdowns'!C16),"Hide","Show")</f>
        <v>Show</v>
      </c>
      <c r="D221" s="236" t="s">
        <v>3296</v>
      </c>
      <c r="E221" s="248"/>
      <c r="F221" s="284" t="s">
        <v>539</v>
      </c>
      <c r="G221" s="268"/>
      <c r="H221" s="242"/>
      <c r="I221" s="239" t="s">
        <v>890</v>
      </c>
      <c r="J221" s="240" t="s">
        <v>890</v>
      </c>
      <c r="K221" s="240"/>
      <c r="L221" s="240"/>
      <c r="M221" s="240"/>
      <c r="N221" s="240"/>
      <c r="O221" s="240"/>
      <c r="P221" s="240"/>
      <c r="Q221" s="240"/>
      <c r="R221" s="240"/>
      <c r="S221" s="240"/>
      <c r="T221" s="240" t="s">
        <v>890</v>
      </c>
      <c r="U221" s="240"/>
      <c r="V221" s="240"/>
      <c r="W221" s="240"/>
      <c r="X221" s="242"/>
      <c r="Y221" s="240"/>
      <c r="Z221" s="240"/>
      <c r="AA221" s="240" t="s">
        <v>890</v>
      </c>
      <c r="AB221" s="240"/>
      <c r="AC221" s="240"/>
      <c r="AD221" s="240"/>
      <c r="AE221" s="240" t="s">
        <v>890</v>
      </c>
      <c r="AF221" s="240" t="s">
        <v>890</v>
      </c>
      <c r="AG221" s="240" t="s">
        <v>890</v>
      </c>
      <c r="AH221" s="242"/>
      <c r="AI221" s="240"/>
      <c r="AJ221" s="240"/>
      <c r="AK221" s="240"/>
      <c r="AL221" s="240"/>
      <c r="AM221" s="242"/>
      <c r="AN221" s="240"/>
      <c r="AO221" s="240"/>
      <c r="AP221" s="240"/>
      <c r="AQ221" s="242"/>
      <c r="AR221" s="240"/>
      <c r="AS221" s="240"/>
      <c r="AT221" s="240"/>
      <c r="AU221" s="240"/>
      <c r="AV221" s="240"/>
      <c r="AW221" s="240"/>
      <c r="AX221" s="240"/>
      <c r="AY221" s="240"/>
      <c r="AZ221" s="242"/>
      <c r="BA221" s="240"/>
      <c r="BB221" s="240"/>
      <c r="BC221" s="240"/>
      <c r="BD221" s="240"/>
      <c r="BE221" s="240"/>
      <c r="BF221" s="240"/>
      <c r="BG221" s="240"/>
      <c r="BH221" s="240"/>
      <c r="BI221" s="240"/>
      <c r="BJ221" s="240"/>
      <c r="BK221" s="240"/>
      <c r="BL221" s="240"/>
      <c r="BM221" s="240"/>
      <c r="BN221" s="240"/>
      <c r="BO221" s="240"/>
      <c r="BP221" s="242"/>
      <c r="BQ221" s="240"/>
      <c r="BR221" s="240"/>
      <c r="BS221" s="240"/>
      <c r="BT221" s="240"/>
      <c r="BU221" s="240"/>
      <c r="BV221" s="240"/>
      <c r="BW221" s="240"/>
      <c r="BX221" s="240"/>
      <c r="BY221" s="240"/>
      <c r="BZ221" s="240"/>
      <c r="CA221" s="240"/>
      <c r="CB221" s="240"/>
      <c r="CC221" s="240"/>
      <c r="CD221" s="240"/>
      <c r="CE221" s="240"/>
      <c r="CF221" s="242"/>
      <c r="CG221" s="240"/>
      <c r="CH221" s="240"/>
      <c r="CI221" s="240"/>
      <c r="CJ221" s="240"/>
      <c r="CK221" s="240"/>
      <c r="CL221" s="240"/>
      <c r="CM221" s="240"/>
      <c r="CN221" s="240"/>
      <c r="CO221" s="240"/>
      <c r="CP221" s="240"/>
      <c r="CQ221" s="240"/>
      <c r="CR221" s="240"/>
      <c r="CS221" s="242"/>
      <c r="CT221" s="240"/>
      <c r="CU221" s="240"/>
      <c r="CV221" s="240"/>
      <c r="CW221" s="240"/>
      <c r="CX221" s="240"/>
      <c r="CY221" s="240"/>
      <c r="CZ221" s="240"/>
      <c r="DA221" s="240"/>
      <c r="DB221" s="240"/>
      <c r="DC221" s="240"/>
      <c r="DD221" s="240"/>
      <c r="DE221" s="240"/>
      <c r="DF221" s="242"/>
      <c r="DG221" s="240"/>
      <c r="DH221" s="240"/>
      <c r="DI221" s="240"/>
      <c r="DJ221" s="240"/>
      <c r="DK221" s="240"/>
      <c r="DL221" s="240"/>
      <c r="DM221" s="240"/>
      <c r="DN221" s="240"/>
      <c r="DO221" s="240"/>
      <c r="DP221" s="240"/>
      <c r="DQ221" s="240"/>
      <c r="DR221" s="242"/>
      <c r="DS221" s="240"/>
      <c r="DT221" s="240"/>
      <c r="DU221" s="240"/>
      <c r="DV221" s="242"/>
      <c r="DW221" s="240"/>
      <c r="DX221" s="240"/>
      <c r="DY221" s="240"/>
      <c r="DZ221" s="240"/>
      <c r="EA221" s="240"/>
      <c r="EB221" s="240"/>
      <c r="EC221" s="240"/>
      <c r="ED221" s="240"/>
      <c r="EE221" s="240"/>
      <c r="EF221" s="242"/>
      <c r="EG221" s="240"/>
      <c r="EH221" s="240"/>
      <c r="EI221" s="240"/>
      <c r="EJ221" s="242"/>
      <c r="EK221" s="240"/>
      <c r="EL221" s="242"/>
      <c r="EM221" s="240"/>
      <c r="EN221" s="240"/>
      <c r="EO221" s="240"/>
      <c r="EP221" s="240"/>
      <c r="EQ221" s="240"/>
      <c r="ER221" s="240"/>
      <c r="ES221" s="240"/>
      <c r="ET221" s="240"/>
      <c r="EU221" s="240"/>
      <c r="EV221" s="240"/>
      <c r="EW221" s="240"/>
      <c r="EX221" s="242"/>
      <c r="EY221" s="240"/>
      <c r="EZ221" s="240"/>
      <c r="FA221" s="240"/>
      <c r="FB221" s="240"/>
      <c r="FC221" s="240"/>
      <c r="FD221" s="240"/>
      <c r="FE221" s="240"/>
      <c r="FF221" s="240"/>
      <c r="FG221" s="240"/>
      <c r="FH221" s="240"/>
      <c r="FI221" s="240"/>
      <c r="FJ221" s="240"/>
      <c r="FK221" s="240"/>
      <c r="FL221" s="240"/>
      <c r="FM221" s="240"/>
      <c r="FN221" s="240"/>
      <c r="FO221" s="242"/>
      <c r="FP221" s="240"/>
      <c r="FQ221" s="240"/>
      <c r="FR221" s="240"/>
      <c r="FS221" s="240"/>
      <c r="FT221" s="240"/>
      <c r="FU221" s="240"/>
      <c r="FV221" s="240"/>
      <c r="FW221" s="240"/>
      <c r="FX221" s="240"/>
      <c r="FY221" s="240"/>
      <c r="FZ221" s="242"/>
      <c r="GA221" s="240"/>
      <c r="GB221" s="240"/>
      <c r="GC221" s="242"/>
      <c r="GD221" s="240"/>
      <c r="GE221" s="240"/>
      <c r="GF221" s="240"/>
      <c r="GG221" s="240"/>
      <c r="GH221" s="242"/>
      <c r="GI221" s="240"/>
      <c r="GJ221" s="240"/>
      <c r="GK221" s="240"/>
      <c r="GL221" s="240"/>
      <c r="GM221" s="242"/>
      <c r="GN221" s="240"/>
      <c r="GO221" s="240"/>
      <c r="GP221" s="240"/>
      <c r="GQ221" s="240"/>
      <c r="GR221" s="240"/>
      <c r="GS221" s="240"/>
      <c r="GT221" s="240"/>
      <c r="GU221" s="240"/>
      <c r="GV221" s="240"/>
      <c r="GW221" s="240"/>
      <c r="GX221" s="240"/>
      <c r="GY221" s="240"/>
      <c r="GZ221" s="240"/>
      <c r="HA221" s="240"/>
      <c r="HB221" s="240"/>
      <c r="HC221" s="240"/>
      <c r="HD221" s="242"/>
      <c r="HE221" s="240"/>
      <c r="HF221" s="240"/>
      <c r="HG221" s="240"/>
      <c r="HH221" s="240"/>
      <c r="HI221" s="240"/>
      <c r="HJ221" s="242"/>
      <c r="HK221" s="240"/>
      <c r="HL221" s="242"/>
      <c r="HM221" s="241"/>
      <c r="HN221" s="235"/>
      <c r="HO221" s="235"/>
      <c r="HP221" s="235"/>
      <c r="HQ221" s="235"/>
    </row>
    <row r="222" spans="2:225" hidden="1" outlineLevel="1">
      <c r="B222" s="275"/>
      <c r="C222" s="258" t="s">
        <v>116</v>
      </c>
      <c r="D222" s="282" t="s">
        <v>111</v>
      </c>
      <c r="E222" s="222"/>
      <c r="F222" s="222"/>
      <c r="G222" s="222"/>
      <c r="H222" s="224"/>
      <c r="I222" s="224"/>
      <c r="J222" s="224"/>
      <c r="K222" s="224"/>
      <c r="L222" s="224"/>
      <c r="M222" s="224"/>
      <c r="N222" s="224"/>
      <c r="O222" s="224"/>
      <c r="P222" s="224"/>
      <c r="Q222" s="224"/>
      <c r="R222" s="224"/>
      <c r="S222" s="224"/>
      <c r="T222" s="224"/>
      <c r="U222" s="224"/>
      <c r="V222" s="224"/>
      <c r="W222" s="224"/>
      <c r="X222" s="224"/>
      <c r="Y222" s="224"/>
      <c r="Z222" s="224"/>
      <c r="AA222" s="224"/>
      <c r="AB222" s="224"/>
      <c r="AC222" s="224"/>
      <c r="AD222" s="224"/>
      <c r="AE222" s="224"/>
      <c r="AF222" s="224"/>
      <c r="AG222" s="224"/>
      <c r="AH222" s="224"/>
      <c r="AI222" s="224"/>
      <c r="AJ222" s="224"/>
      <c r="AK222" s="224"/>
      <c r="AL222" s="224"/>
      <c r="AM222" s="224"/>
      <c r="AN222" s="224"/>
      <c r="AO222" s="224"/>
      <c r="AP222" s="224"/>
      <c r="AQ222" s="224"/>
      <c r="AR222" s="224"/>
      <c r="AS222" s="224"/>
      <c r="AT222" s="224"/>
      <c r="AU222" s="224"/>
      <c r="AV222" s="224"/>
      <c r="AW222" s="224"/>
      <c r="AX222" s="224"/>
      <c r="AY222" s="224"/>
      <c r="AZ222" s="224"/>
      <c r="BA222" s="224"/>
      <c r="BB222" s="224"/>
      <c r="BC222" s="224"/>
      <c r="BD222" s="224"/>
      <c r="BE222" s="224"/>
      <c r="BF222" s="224"/>
      <c r="BG222" s="224"/>
      <c r="BH222" s="224"/>
      <c r="BI222" s="224"/>
      <c r="BJ222" s="224"/>
      <c r="BK222" s="224"/>
      <c r="BL222" s="224"/>
      <c r="BM222" s="224"/>
      <c r="BN222" s="224"/>
      <c r="BO222" s="224"/>
      <c r="BP222" s="224"/>
      <c r="BQ222" s="224"/>
      <c r="BR222" s="224"/>
      <c r="BS222" s="224"/>
      <c r="BT222" s="224"/>
      <c r="BU222" s="224"/>
      <c r="BV222" s="224"/>
      <c r="BW222" s="224"/>
      <c r="BX222" s="224"/>
      <c r="BY222" s="224"/>
      <c r="BZ222" s="224"/>
      <c r="CA222" s="224"/>
      <c r="CB222" s="224"/>
      <c r="CC222" s="224"/>
      <c r="CD222" s="224"/>
      <c r="CE222" s="224"/>
      <c r="CF222" s="224"/>
      <c r="CG222" s="224"/>
      <c r="CH222" s="224"/>
      <c r="CI222" s="224"/>
      <c r="CJ222" s="224"/>
      <c r="CK222" s="224"/>
      <c r="CL222" s="224"/>
      <c r="CM222" s="224"/>
      <c r="CN222" s="224"/>
      <c r="CO222" s="224"/>
      <c r="CP222" s="224"/>
      <c r="CQ222" s="224"/>
      <c r="CR222" s="224"/>
      <c r="CS222" s="224"/>
      <c r="CT222" s="224"/>
      <c r="CU222" s="224"/>
      <c r="CV222" s="224"/>
      <c r="CW222" s="224"/>
      <c r="CX222" s="224"/>
      <c r="CY222" s="224"/>
      <c r="CZ222" s="224"/>
      <c r="DA222" s="224"/>
      <c r="DB222" s="224"/>
      <c r="DC222" s="224"/>
      <c r="DD222" s="224"/>
      <c r="DE222" s="224"/>
      <c r="DF222" s="224"/>
      <c r="DG222" s="224"/>
      <c r="DH222" s="224"/>
      <c r="DI222" s="224"/>
      <c r="DJ222" s="224"/>
      <c r="DK222" s="224"/>
      <c r="DL222" s="224"/>
      <c r="DM222" s="224"/>
      <c r="DN222" s="224"/>
      <c r="DO222" s="224"/>
      <c r="DP222" s="224"/>
      <c r="DQ222" s="224"/>
      <c r="DR222" s="224"/>
      <c r="DS222" s="224"/>
      <c r="DT222" s="224"/>
      <c r="DU222" s="224"/>
      <c r="DV222" s="224"/>
      <c r="DW222" s="224"/>
      <c r="DX222" s="224"/>
      <c r="DY222" s="224"/>
      <c r="DZ222" s="224"/>
      <c r="EA222" s="224"/>
      <c r="EB222" s="224"/>
      <c r="EC222" s="224"/>
      <c r="ED222" s="224"/>
      <c r="EE222" s="224"/>
      <c r="EF222" s="224"/>
      <c r="EG222" s="224"/>
      <c r="EH222" s="224"/>
      <c r="EI222" s="224"/>
      <c r="EJ222" s="224"/>
      <c r="EK222" s="224"/>
      <c r="EL222" s="224"/>
      <c r="EM222" s="224"/>
      <c r="EN222" s="224"/>
      <c r="EO222" s="224"/>
      <c r="EP222" s="224"/>
      <c r="EQ222" s="224"/>
      <c r="ER222" s="224"/>
      <c r="ES222" s="224"/>
      <c r="ET222" s="224"/>
      <c r="EU222" s="224"/>
      <c r="EV222" s="224"/>
      <c r="EW222" s="224"/>
      <c r="EX222" s="224"/>
      <c r="EY222" s="224"/>
      <c r="EZ222" s="224"/>
      <c r="FA222" s="224"/>
      <c r="FB222" s="224"/>
      <c r="FC222" s="224"/>
      <c r="FD222" s="224"/>
      <c r="FE222" s="224"/>
      <c r="FF222" s="224"/>
      <c r="FG222" s="224"/>
      <c r="FH222" s="224"/>
      <c r="FI222" s="224"/>
      <c r="FJ222" s="224"/>
      <c r="FK222" s="224"/>
      <c r="FL222" s="224"/>
      <c r="FM222" s="224"/>
      <c r="FN222" s="224"/>
      <c r="FO222" s="224"/>
      <c r="FP222" s="224"/>
      <c r="FQ222" s="224"/>
      <c r="FR222" s="224"/>
      <c r="FS222" s="224"/>
      <c r="FT222" s="224"/>
      <c r="FU222" s="224"/>
      <c r="FV222" s="224"/>
      <c r="FW222" s="224"/>
      <c r="FX222" s="224"/>
      <c r="FY222" s="224"/>
      <c r="FZ222" s="224"/>
      <c r="GA222" s="224"/>
      <c r="GB222" s="224"/>
      <c r="GC222" s="224"/>
      <c r="GD222" s="224"/>
      <c r="GE222" s="224"/>
      <c r="GF222" s="224"/>
      <c r="GG222" s="224"/>
      <c r="GH222" s="224"/>
      <c r="GI222" s="224"/>
      <c r="GJ222" s="224"/>
      <c r="GK222" s="224"/>
      <c r="GL222" s="224"/>
      <c r="GM222" s="224"/>
      <c r="GN222" s="224"/>
      <c r="GO222" s="224"/>
      <c r="GP222" s="224"/>
      <c r="GQ222" s="224"/>
      <c r="GR222" s="224"/>
      <c r="GS222" s="224"/>
      <c r="GT222" s="224"/>
      <c r="GU222" s="224"/>
      <c r="GV222" s="224"/>
      <c r="GW222" s="224"/>
      <c r="GX222" s="224"/>
      <c r="GY222" s="224"/>
      <c r="GZ222" s="224"/>
      <c r="HA222" s="224"/>
      <c r="HB222" s="224"/>
      <c r="HC222" s="224"/>
      <c r="HD222" s="224"/>
      <c r="HE222" s="224"/>
      <c r="HF222" s="224"/>
      <c r="HG222" s="224"/>
      <c r="HH222" s="224"/>
      <c r="HI222" s="224"/>
      <c r="HJ222" s="224"/>
      <c r="HK222" s="224"/>
      <c r="HL222" s="224"/>
      <c r="HM222" s="265"/>
      <c r="HN222" s="235"/>
      <c r="HO222" s="235"/>
      <c r="HP222" s="235"/>
      <c r="HQ222" s="235"/>
    </row>
    <row r="223" spans="2:225" hidden="1" outlineLevel="2">
      <c r="B223" s="275"/>
      <c r="C223" s="258" t="s">
        <v>116</v>
      </c>
      <c r="D223" s="236" t="s">
        <v>3297</v>
      </c>
      <c r="E223" s="237"/>
      <c r="F223" s="284" t="s">
        <v>894</v>
      </c>
      <c r="G223" s="315"/>
      <c r="H223" s="290"/>
      <c r="I223" s="291" t="s">
        <v>890</v>
      </c>
      <c r="J223" s="292" t="s">
        <v>890</v>
      </c>
      <c r="K223" s="292"/>
      <c r="L223" s="292"/>
      <c r="M223" s="292"/>
      <c r="N223" s="292"/>
      <c r="O223" s="292"/>
      <c r="P223" s="292"/>
      <c r="Q223" s="292"/>
      <c r="R223" s="292"/>
      <c r="S223" s="292"/>
      <c r="T223" s="240" t="s">
        <v>890</v>
      </c>
      <c r="U223" s="240"/>
      <c r="V223" s="240"/>
      <c r="W223" s="240"/>
      <c r="X223" s="290"/>
      <c r="Y223" s="240"/>
      <c r="Z223" s="240"/>
      <c r="AA223" s="240"/>
      <c r="AB223" s="240"/>
      <c r="AC223" s="240"/>
      <c r="AD223" s="240"/>
      <c r="AE223" s="240"/>
      <c r="AF223" s="240"/>
      <c r="AG223" s="240"/>
      <c r="AH223" s="290"/>
      <c r="AI223" s="240"/>
      <c r="AJ223" s="240"/>
      <c r="AK223" s="240"/>
      <c r="AL223" s="240"/>
      <c r="AM223" s="290"/>
      <c r="AN223" s="240"/>
      <c r="AO223" s="240"/>
      <c r="AP223" s="240"/>
      <c r="AQ223" s="290"/>
      <c r="AR223" s="240"/>
      <c r="AS223" s="240"/>
      <c r="AT223" s="240"/>
      <c r="AU223" s="240"/>
      <c r="AV223" s="240"/>
      <c r="AW223" s="240"/>
      <c r="AX223" s="240"/>
      <c r="AY223" s="240"/>
      <c r="AZ223" s="290"/>
      <c r="BA223" s="240" t="s">
        <v>890</v>
      </c>
      <c r="BB223" s="240"/>
      <c r="BC223" s="240"/>
      <c r="BD223" s="240"/>
      <c r="BE223" s="240"/>
      <c r="BF223" s="240"/>
      <c r="BG223" s="240"/>
      <c r="BH223" s="240"/>
      <c r="BI223" s="240"/>
      <c r="BJ223" s="240"/>
      <c r="BK223" s="240"/>
      <c r="BL223" s="240"/>
      <c r="BM223" s="240"/>
      <c r="BN223" s="240"/>
      <c r="BO223" s="240"/>
      <c r="BP223" s="290"/>
      <c r="BQ223" s="240"/>
      <c r="BR223" s="240"/>
      <c r="BS223" s="240"/>
      <c r="BT223" s="240"/>
      <c r="BU223" s="240"/>
      <c r="BV223" s="240"/>
      <c r="BW223" s="240"/>
      <c r="BX223" s="240"/>
      <c r="BY223" s="240"/>
      <c r="BZ223" s="240"/>
      <c r="CA223" s="240"/>
      <c r="CB223" s="240"/>
      <c r="CC223" s="240"/>
      <c r="CD223" s="240"/>
      <c r="CE223" s="240" t="s">
        <v>890</v>
      </c>
      <c r="CF223" s="290"/>
      <c r="CG223" s="240"/>
      <c r="CH223" s="240"/>
      <c r="CI223" s="240"/>
      <c r="CJ223" s="240"/>
      <c r="CK223" s="240"/>
      <c r="CL223" s="240"/>
      <c r="CM223" s="240"/>
      <c r="CN223" s="240"/>
      <c r="CO223" s="240"/>
      <c r="CP223" s="240"/>
      <c r="CQ223" s="240"/>
      <c r="CR223" s="240"/>
      <c r="CS223" s="290" t="s">
        <v>890</v>
      </c>
      <c r="CT223" s="240" t="s">
        <v>890</v>
      </c>
      <c r="CU223" s="240" t="s">
        <v>890</v>
      </c>
      <c r="CV223" s="240"/>
      <c r="CW223" s="240" t="s">
        <v>890</v>
      </c>
      <c r="CX223" s="240" t="s">
        <v>890</v>
      </c>
      <c r="CY223" s="240" t="s">
        <v>890</v>
      </c>
      <c r="CZ223" s="240" t="s">
        <v>890</v>
      </c>
      <c r="DA223" s="240"/>
      <c r="DB223" s="240"/>
      <c r="DC223" s="240"/>
      <c r="DD223" s="240"/>
      <c r="DE223" s="240"/>
      <c r="DF223" s="290"/>
      <c r="DG223" s="240"/>
      <c r="DH223" s="240"/>
      <c r="DI223" s="240"/>
      <c r="DJ223" s="240"/>
      <c r="DK223" s="240"/>
      <c r="DL223" s="240"/>
      <c r="DM223" s="240"/>
      <c r="DN223" s="240"/>
      <c r="DO223" s="240"/>
      <c r="DP223" s="240"/>
      <c r="DQ223" s="240"/>
      <c r="DR223" s="290"/>
      <c r="DS223" s="240"/>
      <c r="DT223" s="240"/>
      <c r="DU223" s="240"/>
      <c r="DV223" s="290"/>
      <c r="DW223" s="240"/>
      <c r="DX223" s="240"/>
      <c r="DY223" s="240"/>
      <c r="DZ223" s="240"/>
      <c r="EA223" s="240"/>
      <c r="EB223" s="240"/>
      <c r="EC223" s="240"/>
      <c r="ED223" s="240"/>
      <c r="EE223" s="240"/>
      <c r="EF223" s="290"/>
      <c r="EG223" s="240"/>
      <c r="EH223" s="240"/>
      <c r="EI223" s="240"/>
      <c r="EJ223" s="290"/>
      <c r="EK223" s="240"/>
      <c r="EL223" s="290"/>
      <c r="EM223" s="240"/>
      <c r="EN223" s="240"/>
      <c r="EO223" s="240"/>
      <c r="EP223" s="240"/>
      <c r="EQ223" s="240"/>
      <c r="ER223" s="240"/>
      <c r="ES223" s="240"/>
      <c r="ET223" s="240"/>
      <c r="EU223" s="240"/>
      <c r="EV223" s="240"/>
      <c r="EW223" s="240"/>
      <c r="EX223" s="290"/>
      <c r="EY223" s="240"/>
      <c r="EZ223" s="240"/>
      <c r="FA223" s="240"/>
      <c r="FB223" s="240"/>
      <c r="FC223" s="240"/>
      <c r="FD223" s="240"/>
      <c r="FE223" s="240"/>
      <c r="FF223" s="240"/>
      <c r="FG223" s="240"/>
      <c r="FH223" s="240"/>
      <c r="FI223" s="240"/>
      <c r="FJ223" s="240"/>
      <c r="FK223" s="240"/>
      <c r="FL223" s="240"/>
      <c r="FM223" s="240"/>
      <c r="FN223" s="240"/>
      <c r="FO223" s="290"/>
      <c r="FP223" s="240"/>
      <c r="FQ223" s="240"/>
      <c r="FR223" s="240"/>
      <c r="FS223" s="240"/>
      <c r="FT223" s="240"/>
      <c r="FU223" s="240"/>
      <c r="FV223" s="240"/>
      <c r="FW223" s="240"/>
      <c r="FX223" s="240"/>
      <c r="FY223" s="240"/>
      <c r="FZ223" s="290"/>
      <c r="GA223" s="240"/>
      <c r="GB223" s="240"/>
      <c r="GC223" s="290"/>
      <c r="GD223" s="240"/>
      <c r="GE223" s="240"/>
      <c r="GF223" s="240"/>
      <c r="GG223" s="240"/>
      <c r="GH223" s="290"/>
      <c r="GI223" s="240"/>
      <c r="GJ223" s="240"/>
      <c r="GK223" s="240"/>
      <c r="GL223" s="240"/>
      <c r="GM223" s="290"/>
      <c r="GN223" s="240"/>
      <c r="GO223" s="240"/>
      <c r="GP223" s="240"/>
      <c r="GQ223" s="240"/>
      <c r="GR223" s="240"/>
      <c r="GS223" s="240"/>
      <c r="GT223" s="240"/>
      <c r="GU223" s="240"/>
      <c r="GV223" s="240"/>
      <c r="GW223" s="240"/>
      <c r="GX223" s="240"/>
      <c r="GY223" s="240"/>
      <c r="GZ223" s="240"/>
      <c r="HA223" s="240"/>
      <c r="HB223" s="240"/>
      <c r="HC223" s="240"/>
      <c r="HD223" s="290"/>
      <c r="HE223" s="240"/>
      <c r="HF223" s="240"/>
      <c r="HG223" s="240"/>
      <c r="HH223" s="240"/>
      <c r="HI223" s="240"/>
      <c r="HJ223" s="290"/>
      <c r="HK223" s="240"/>
      <c r="HL223" s="290"/>
      <c r="HM223" s="241"/>
      <c r="HN223" s="235"/>
      <c r="HO223" s="235"/>
    </row>
    <row r="224" spans="2:225" hidden="1" outlineLevel="2">
      <c r="B224" s="275"/>
      <c r="C224" s="258" t="s">
        <v>116</v>
      </c>
      <c r="D224" s="236" t="s">
        <v>3298</v>
      </c>
      <c r="E224" s="248"/>
      <c r="F224" s="284" t="str">
        <f>IF(E224='3. Dropdowns'!C266,"","Submittals, Products")</f>
        <v>Submittals, Products</v>
      </c>
      <c r="G224" s="268"/>
      <c r="H224" s="294"/>
      <c r="I224" s="291"/>
      <c r="J224" s="292"/>
      <c r="K224" s="292"/>
      <c r="L224" s="292"/>
      <c r="M224" s="292"/>
      <c r="N224" s="292"/>
      <c r="O224" s="292"/>
      <c r="P224" s="292"/>
      <c r="Q224" s="292"/>
      <c r="R224" s="292"/>
      <c r="S224" s="292"/>
      <c r="T224" s="240" t="s">
        <v>890</v>
      </c>
      <c r="U224" s="240"/>
      <c r="V224" s="240"/>
      <c r="W224" s="240"/>
      <c r="X224" s="294"/>
      <c r="Y224" s="240"/>
      <c r="Z224" s="240"/>
      <c r="AA224" s="240"/>
      <c r="AB224" s="240"/>
      <c r="AC224" s="240"/>
      <c r="AD224" s="240"/>
      <c r="AE224" s="240"/>
      <c r="AF224" s="240"/>
      <c r="AG224" s="240"/>
      <c r="AH224" s="294"/>
      <c r="AI224" s="240"/>
      <c r="AJ224" s="240"/>
      <c r="AK224" s="240"/>
      <c r="AL224" s="240"/>
      <c r="AM224" s="294"/>
      <c r="AN224" s="240"/>
      <c r="AO224" s="240"/>
      <c r="AP224" s="240"/>
      <c r="AQ224" s="294"/>
      <c r="AR224" s="240"/>
      <c r="AS224" s="240"/>
      <c r="AT224" s="240"/>
      <c r="AU224" s="240"/>
      <c r="AV224" s="240"/>
      <c r="AW224" s="240"/>
      <c r="AX224" s="240"/>
      <c r="AY224" s="240"/>
      <c r="AZ224" s="294"/>
      <c r="BA224" s="240"/>
      <c r="BB224" s="240"/>
      <c r="BC224" s="240"/>
      <c r="BD224" s="240"/>
      <c r="BE224" s="240"/>
      <c r="BF224" s="240"/>
      <c r="BG224" s="240"/>
      <c r="BH224" s="240"/>
      <c r="BI224" s="240"/>
      <c r="BJ224" s="240"/>
      <c r="BK224" s="240"/>
      <c r="BL224" s="240"/>
      <c r="BM224" s="240"/>
      <c r="BN224" s="240"/>
      <c r="BO224" s="240"/>
      <c r="BP224" s="294"/>
      <c r="BQ224" s="240"/>
      <c r="BR224" s="240"/>
      <c r="BS224" s="240"/>
      <c r="BT224" s="240"/>
      <c r="BU224" s="240"/>
      <c r="BV224" s="240"/>
      <c r="BW224" s="240"/>
      <c r="BX224" s="240"/>
      <c r="BY224" s="240" t="s">
        <v>890</v>
      </c>
      <c r="BZ224" s="240" t="s">
        <v>890</v>
      </c>
      <c r="CA224" s="240"/>
      <c r="CB224" s="240"/>
      <c r="CC224" s="240"/>
      <c r="CD224" s="240"/>
      <c r="CE224" s="240"/>
      <c r="CF224" s="294"/>
      <c r="CG224" s="240"/>
      <c r="CH224" s="240"/>
      <c r="CI224" s="240"/>
      <c r="CJ224" s="240"/>
      <c r="CK224" s="240"/>
      <c r="CL224" s="240"/>
      <c r="CM224" s="240"/>
      <c r="CN224" s="240"/>
      <c r="CO224" s="240"/>
      <c r="CP224" s="240"/>
      <c r="CQ224" s="240"/>
      <c r="CR224" s="240"/>
      <c r="CS224" s="294"/>
      <c r="CT224" s="240"/>
      <c r="CU224" s="240"/>
      <c r="CV224" s="240"/>
      <c r="CW224" s="240"/>
      <c r="CX224" s="240"/>
      <c r="CY224" s="240"/>
      <c r="CZ224" s="240"/>
      <c r="DA224" s="240"/>
      <c r="DB224" s="240"/>
      <c r="DC224" s="240"/>
      <c r="DD224" s="240"/>
      <c r="DE224" s="240"/>
      <c r="DF224" s="294"/>
      <c r="DG224" s="240"/>
      <c r="DH224" s="240"/>
      <c r="DI224" s="240"/>
      <c r="DJ224" s="240"/>
      <c r="DK224" s="240"/>
      <c r="DL224" s="240"/>
      <c r="DM224" s="240"/>
      <c r="DN224" s="240"/>
      <c r="DO224" s="240"/>
      <c r="DP224" s="240"/>
      <c r="DQ224" s="240"/>
      <c r="DR224" s="294"/>
      <c r="DS224" s="240"/>
      <c r="DT224" s="240"/>
      <c r="DU224" s="240"/>
      <c r="DV224" s="294"/>
      <c r="DW224" s="240"/>
      <c r="DX224" s="240"/>
      <c r="DY224" s="240"/>
      <c r="DZ224" s="240"/>
      <c r="EA224" s="240"/>
      <c r="EB224" s="240"/>
      <c r="EC224" s="240"/>
      <c r="ED224" s="240"/>
      <c r="EE224" s="240"/>
      <c r="EF224" s="294"/>
      <c r="EG224" s="240"/>
      <c r="EH224" s="240"/>
      <c r="EI224" s="240"/>
      <c r="EJ224" s="294"/>
      <c r="EK224" s="240"/>
      <c r="EL224" s="294"/>
      <c r="EM224" s="240"/>
      <c r="EN224" s="240"/>
      <c r="EO224" s="240"/>
      <c r="EP224" s="240"/>
      <c r="EQ224" s="240"/>
      <c r="ER224" s="240"/>
      <c r="ES224" s="240"/>
      <c r="ET224" s="240"/>
      <c r="EU224" s="240"/>
      <c r="EV224" s="240"/>
      <c r="EW224" s="240"/>
      <c r="EX224" s="294"/>
      <c r="EY224" s="240"/>
      <c r="EZ224" s="240"/>
      <c r="FA224" s="240"/>
      <c r="FB224" s="240"/>
      <c r="FC224" s="240"/>
      <c r="FD224" s="240"/>
      <c r="FE224" s="240"/>
      <c r="FF224" s="240"/>
      <c r="FG224" s="240"/>
      <c r="FH224" s="240"/>
      <c r="FI224" s="240"/>
      <c r="FJ224" s="240"/>
      <c r="FK224" s="240"/>
      <c r="FL224" s="240"/>
      <c r="FM224" s="240"/>
      <c r="FN224" s="240"/>
      <c r="FO224" s="294"/>
      <c r="FP224" s="240"/>
      <c r="FQ224" s="240"/>
      <c r="FR224" s="240"/>
      <c r="FS224" s="240"/>
      <c r="FT224" s="240"/>
      <c r="FU224" s="240"/>
      <c r="FV224" s="240"/>
      <c r="FW224" s="240"/>
      <c r="FX224" s="240"/>
      <c r="FY224" s="240"/>
      <c r="FZ224" s="294"/>
      <c r="GA224" s="240"/>
      <c r="GB224" s="240"/>
      <c r="GC224" s="294"/>
      <c r="GD224" s="240"/>
      <c r="GE224" s="240"/>
      <c r="GF224" s="240"/>
      <c r="GG224" s="240"/>
      <c r="GH224" s="294"/>
      <c r="GI224" s="240"/>
      <c r="GJ224" s="240"/>
      <c r="GK224" s="240"/>
      <c r="GL224" s="240"/>
      <c r="GM224" s="294"/>
      <c r="GN224" s="240"/>
      <c r="GO224" s="240"/>
      <c r="GP224" s="240"/>
      <c r="GQ224" s="240"/>
      <c r="GR224" s="240"/>
      <c r="GS224" s="240"/>
      <c r="GT224" s="240"/>
      <c r="GU224" s="240"/>
      <c r="GV224" s="240"/>
      <c r="GW224" s="240"/>
      <c r="GX224" s="240"/>
      <c r="GY224" s="240"/>
      <c r="GZ224" s="240"/>
      <c r="HA224" s="240"/>
      <c r="HB224" s="240"/>
      <c r="HC224" s="240"/>
      <c r="HD224" s="294"/>
      <c r="HE224" s="240"/>
      <c r="HF224" s="240"/>
      <c r="HG224" s="240"/>
      <c r="HH224" s="240"/>
      <c r="HI224" s="240"/>
      <c r="HJ224" s="294"/>
      <c r="HK224" s="240"/>
      <c r="HL224" s="294"/>
      <c r="HM224" s="241"/>
      <c r="HN224" s="235"/>
      <c r="HO224" s="235"/>
    </row>
    <row r="225" spans="2:225" hidden="1" outlineLevel="2">
      <c r="B225" s="275"/>
      <c r="C225" s="258" t="s">
        <v>116</v>
      </c>
      <c r="D225" s="236" t="s">
        <v>3299</v>
      </c>
      <c r="E225" s="248"/>
      <c r="F225" s="284" t="str">
        <f>IF(E225='3. Dropdowns'!C268,"","Submittals, Products")</f>
        <v>Submittals, Products</v>
      </c>
      <c r="G225" s="268"/>
      <c r="H225" s="294"/>
      <c r="I225" s="291" t="s">
        <v>890</v>
      </c>
      <c r="J225" s="292" t="s">
        <v>890</v>
      </c>
      <c r="K225" s="292"/>
      <c r="L225" s="292"/>
      <c r="M225" s="292"/>
      <c r="N225" s="292"/>
      <c r="O225" s="292"/>
      <c r="P225" s="292"/>
      <c r="Q225" s="292"/>
      <c r="R225" s="292"/>
      <c r="S225" s="292"/>
      <c r="T225" s="240" t="s">
        <v>890</v>
      </c>
      <c r="U225" s="240"/>
      <c r="V225" s="240"/>
      <c r="W225" s="240"/>
      <c r="X225" s="294"/>
      <c r="Y225" s="240"/>
      <c r="Z225" s="240"/>
      <c r="AA225" s="240"/>
      <c r="AB225" s="240"/>
      <c r="AC225" s="240"/>
      <c r="AD225" s="240"/>
      <c r="AE225" s="240"/>
      <c r="AF225" s="240"/>
      <c r="AG225" s="240"/>
      <c r="AH225" s="294"/>
      <c r="AI225" s="240" t="s">
        <v>890</v>
      </c>
      <c r="AJ225" s="240" t="s">
        <v>890</v>
      </c>
      <c r="AK225" s="240" t="s">
        <v>890</v>
      </c>
      <c r="AL225" s="240" t="s">
        <v>890</v>
      </c>
      <c r="AM225" s="294"/>
      <c r="AN225" s="240"/>
      <c r="AO225" s="240"/>
      <c r="AP225" s="240"/>
      <c r="AQ225" s="294"/>
      <c r="AR225" s="240"/>
      <c r="AS225" s="240"/>
      <c r="AT225" s="240"/>
      <c r="AU225" s="240"/>
      <c r="AV225" s="240"/>
      <c r="AW225" s="240"/>
      <c r="AX225" s="240"/>
      <c r="AY225" s="240"/>
      <c r="AZ225" s="294"/>
      <c r="BA225" s="240"/>
      <c r="BB225" s="240"/>
      <c r="BC225" s="240"/>
      <c r="BD225" s="240"/>
      <c r="BE225" s="240"/>
      <c r="BF225" s="240"/>
      <c r="BG225" s="240"/>
      <c r="BH225" s="240"/>
      <c r="BI225" s="240"/>
      <c r="BJ225" s="240"/>
      <c r="BK225" s="240"/>
      <c r="BL225" s="240"/>
      <c r="BM225" s="240"/>
      <c r="BN225" s="240"/>
      <c r="BO225" s="240"/>
      <c r="BP225" s="294"/>
      <c r="BQ225" s="240"/>
      <c r="BR225" s="240"/>
      <c r="BS225" s="240"/>
      <c r="BT225" s="240"/>
      <c r="BU225" s="240"/>
      <c r="BV225" s="240"/>
      <c r="BW225" s="240"/>
      <c r="BX225" s="240"/>
      <c r="BY225" s="240"/>
      <c r="BZ225" s="240"/>
      <c r="CA225" s="240"/>
      <c r="CB225" s="240"/>
      <c r="CC225" s="240"/>
      <c r="CD225" s="240"/>
      <c r="CE225" s="240"/>
      <c r="CF225" s="294"/>
      <c r="CG225" s="240"/>
      <c r="CH225" s="240"/>
      <c r="CI225" s="240"/>
      <c r="CJ225" s="240"/>
      <c r="CK225" s="240"/>
      <c r="CL225" s="240"/>
      <c r="CM225" s="240"/>
      <c r="CN225" s="240"/>
      <c r="CO225" s="240"/>
      <c r="CP225" s="240"/>
      <c r="CQ225" s="240"/>
      <c r="CR225" s="240"/>
      <c r="CS225" s="294"/>
      <c r="CT225" s="240"/>
      <c r="CU225" s="240"/>
      <c r="CV225" s="240"/>
      <c r="CW225" s="240"/>
      <c r="CX225" s="240"/>
      <c r="CY225" s="240"/>
      <c r="CZ225" s="240"/>
      <c r="DA225" s="240"/>
      <c r="DB225" s="240"/>
      <c r="DC225" s="240"/>
      <c r="DD225" s="240"/>
      <c r="DE225" s="240"/>
      <c r="DF225" s="294"/>
      <c r="DG225" s="240"/>
      <c r="DH225" s="240"/>
      <c r="DI225" s="240"/>
      <c r="DJ225" s="240"/>
      <c r="DK225" s="240"/>
      <c r="DL225" s="240"/>
      <c r="DM225" s="240"/>
      <c r="DN225" s="240"/>
      <c r="DO225" s="240"/>
      <c r="DP225" s="240"/>
      <c r="DQ225" s="240"/>
      <c r="DR225" s="294"/>
      <c r="DS225" s="240"/>
      <c r="DT225" s="240"/>
      <c r="DU225" s="240"/>
      <c r="DV225" s="294"/>
      <c r="DW225" s="240"/>
      <c r="DX225" s="240"/>
      <c r="DY225" s="240"/>
      <c r="DZ225" s="240"/>
      <c r="EA225" s="240"/>
      <c r="EB225" s="240"/>
      <c r="EC225" s="240"/>
      <c r="ED225" s="240"/>
      <c r="EE225" s="240"/>
      <c r="EF225" s="294"/>
      <c r="EG225" s="240"/>
      <c r="EH225" s="240"/>
      <c r="EI225" s="240"/>
      <c r="EJ225" s="294"/>
      <c r="EK225" s="240"/>
      <c r="EL225" s="294"/>
      <c r="EM225" s="240"/>
      <c r="EN225" s="240"/>
      <c r="EO225" s="240"/>
      <c r="EP225" s="240"/>
      <c r="EQ225" s="240"/>
      <c r="ER225" s="240"/>
      <c r="ES225" s="240"/>
      <c r="ET225" s="240"/>
      <c r="EU225" s="240"/>
      <c r="EV225" s="240"/>
      <c r="EW225" s="240"/>
      <c r="EX225" s="294"/>
      <c r="EY225" s="240"/>
      <c r="EZ225" s="240"/>
      <c r="FA225" s="240"/>
      <c r="FB225" s="240"/>
      <c r="FC225" s="240"/>
      <c r="FD225" s="240"/>
      <c r="FE225" s="240"/>
      <c r="FF225" s="240"/>
      <c r="FG225" s="240"/>
      <c r="FH225" s="240"/>
      <c r="FI225" s="240"/>
      <c r="FJ225" s="240"/>
      <c r="FK225" s="240"/>
      <c r="FL225" s="240"/>
      <c r="FM225" s="240"/>
      <c r="FN225" s="240"/>
      <c r="FO225" s="294"/>
      <c r="FP225" s="240"/>
      <c r="FQ225" s="240"/>
      <c r="FR225" s="240"/>
      <c r="FS225" s="240"/>
      <c r="FT225" s="240"/>
      <c r="FU225" s="240"/>
      <c r="FV225" s="240"/>
      <c r="FW225" s="240"/>
      <c r="FX225" s="240"/>
      <c r="FY225" s="240"/>
      <c r="FZ225" s="294"/>
      <c r="GA225" s="240"/>
      <c r="GB225" s="240"/>
      <c r="GC225" s="294"/>
      <c r="GD225" s="240"/>
      <c r="GE225" s="240"/>
      <c r="GF225" s="240"/>
      <c r="GG225" s="240"/>
      <c r="GH225" s="294"/>
      <c r="GI225" s="240"/>
      <c r="GJ225" s="240"/>
      <c r="GK225" s="240"/>
      <c r="GL225" s="240"/>
      <c r="GM225" s="294"/>
      <c r="GN225" s="240"/>
      <c r="GO225" s="240"/>
      <c r="GP225" s="240"/>
      <c r="GQ225" s="240"/>
      <c r="GR225" s="240"/>
      <c r="GS225" s="240"/>
      <c r="GT225" s="240"/>
      <c r="GU225" s="240"/>
      <c r="GV225" s="240"/>
      <c r="GW225" s="240"/>
      <c r="GX225" s="240"/>
      <c r="GY225" s="240"/>
      <c r="GZ225" s="240"/>
      <c r="HA225" s="240"/>
      <c r="HB225" s="240"/>
      <c r="HC225" s="240"/>
      <c r="HD225" s="294"/>
      <c r="HE225" s="240"/>
      <c r="HF225" s="240"/>
      <c r="HG225" s="240"/>
      <c r="HH225" s="240"/>
      <c r="HI225" s="240"/>
      <c r="HJ225" s="294"/>
      <c r="HK225" s="240"/>
      <c r="HL225" s="294"/>
      <c r="HM225" s="241"/>
      <c r="HN225" s="235"/>
      <c r="HO225" s="235"/>
    </row>
    <row r="226" spans="2:225" hidden="1" outlineLevel="2">
      <c r="B226" s="275"/>
      <c r="C226" s="258" t="s">
        <v>116</v>
      </c>
      <c r="D226" s="236" t="s">
        <v>3300</v>
      </c>
      <c r="E226" s="248"/>
      <c r="F226" s="284" t="s">
        <v>540</v>
      </c>
      <c r="G226" s="268"/>
      <c r="H226" s="294"/>
      <c r="I226" s="291" t="s">
        <v>890</v>
      </c>
      <c r="J226" s="292" t="s">
        <v>890</v>
      </c>
      <c r="K226" s="292"/>
      <c r="L226" s="292"/>
      <c r="M226" s="292"/>
      <c r="N226" s="292"/>
      <c r="O226" s="292"/>
      <c r="P226" s="292"/>
      <c r="Q226" s="292"/>
      <c r="R226" s="292"/>
      <c r="S226" s="292"/>
      <c r="T226" s="240" t="s">
        <v>890</v>
      </c>
      <c r="U226" s="240"/>
      <c r="V226" s="240"/>
      <c r="W226" s="240"/>
      <c r="X226" s="294"/>
      <c r="Y226" s="240"/>
      <c r="Z226" s="240"/>
      <c r="AA226" s="240"/>
      <c r="AB226" s="240"/>
      <c r="AC226" s="240"/>
      <c r="AD226" s="240"/>
      <c r="AE226" s="240"/>
      <c r="AF226" s="240"/>
      <c r="AG226" s="240"/>
      <c r="AH226" s="294"/>
      <c r="AI226" s="240"/>
      <c r="AJ226" s="240"/>
      <c r="AK226" s="240"/>
      <c r="AL226" s="240"/>
      <c r="AM226" s="294"/>
      <c r="AN226" s="240"/>
      <c r="AO226" s="240"/>
      <c r="AP226" s="240"/>
      <c r="AQ226" s="294"/>
      <c r="AR226" s="240"/>
      <c r="AS226" s="240"/>
      <c r="AT226" s="240"/>
      <c r="AU226" s="240"/>
      <c r="AV226" s="240"/>
      <c r="AW226" s="240"/>
      <c r="AX226" s="240"/>
      <c r="AY226" s="240"/>
      <c r="AZ226" s="294"/>
      <c r="BA226" s="240"/>
      <c r="BB226" s="240"/>
      <c r="BC226" s="240"/>
      <c r="BD226" s="240"/>
      <c r="BE226" s="240"/>
      <c r="BF226" s="240"/>
      <c r="BG226" s="240"/>
      <c r="BH226" s="240"/>
      <c r="BI226" s="240"/>
      <c r="BJ226" s="240"/>
      <c r="BK226" s="240"/>
      <c r="BL226" s="240"/>
      <c r="BM226" s="240"/>
      <c r="BN226" s="240"/>
      <c r="BO226" s="240"/>
      <c r="BP226" s="294"/>
      <c r="BQ226" s="240"/>
      <c r="BR226" s="240"/>
      <c r="BS226" s="240"/>
      <c r="BT226" s="240"/>
      <c r="BU226" s="240"/>
      <c r="BV226" s="240"/>
      <c r="BW226" s="240"/>
      <c r="BX226" s="240"/>
      <c r="BY226" s="240"/>
      <c r="BZ226" s="240"/>
      <c r="CA226" s="240"/>
      <c r="CB226" s="240"/>
      <c r="CC226" s="240"/>
      <c r="CD226" s="240"/>
      <c r="CE226" s="240"/>
      <c r="CF226" s="294"/>
      <c r="CG226" s="240"/>
      <c r="CH226" s="240"/>
      <c r="CI226" s="240"/>
      <c r="CJ226" s="240"/>
      <c r="CK226" s="240"/>
      <c r="CL226" s="240"/>
      <c r="CM226" s="240"/>
      <c r="CN226" s="240"/>
      <c r="CO226" s="240"/>
      <c r="CP226" s="240"/>
      <c r="CQ226" s="240"/>
      <c r="CR226" s="240"/>
      <c r="CS226" s="294"/>
      <c r="CT226" s="240"/>
      <c r="CU226" s="240"/>
      <c r="CV226" s="240"/>
      <c r="CW226" s="240" t="s">
        <v>890</v>
      </c>
      <c r="CX226" s="240" t="s">
        <v>890</v>
      </c>
      <c r="CY226" s="240"/>
      <c r="CZ226" s="240" t="s">
        <v>890</v>
      </c>
      <c r="DA226" s="240"/>
      <c r="DB226" s="240"/>
      <c r="DC226" s="240"/>
      <c r="DD226" s="240"/>
      <c r="DE226" s="240"/>
      <c r="DF226" s="294"/>
      <c r="DG226" s="240"/>
      <c r="DH226" s="240"/>
      <c r="DI226" s="240"/>
      <c r="DJ226" s="240"/>
      <c r="DK226" s="240"/>
      <c r="DL226" s="240"/>
      <c r="DM226" s="240"/>
      <c r="DN226" s="240"/>
      <c r="DO226" s="240"/>
      <c r="DP226" s="240"/>
      <c r="DQ226" s="240"/>
      <c r="DR226" s="294"/>
      <c r="DS226" s="240"/>
      <c r="DT226" s="240"/>
      <c r="DU226" s="240"/>
      <c r="DV226" s="294"/>
      <c r="DW226" s="240"/>
      <c r="DX226" s="240"/>
      <c r="DY226" s="240"/>
      <c r="DZ226" s="240"/>
      <c r="EA226" s="240"/>
      <c r="EB226" s="240"/>
      <c r="EC226" s="240"/>
      <c r="ED226" s="240"/>
      <c r="EE226" s="240"/>
      <c r="EF226" s="294"/>
      <c r="EG226" s="240"/>
      <c r="EH226" s="240"/>
      <c r="EI226" s="240"/>
      <c r="EJ226" s="294"/>
      <c r="EK226" s="240"/>
      <c r="EL226" s="294"/>
      <c r="EM226" s="240"/>
      <c r="EN226" s="240"/>
      <c r="EO226" s="240"/>
      <c r="EP226" s="240"/>
      <c r="EQ226" s="240"/>
      <c r="ER226" s="240"/>
      <c r="ES226" s="240"/>
      <c r="ET226" s="240"/>
      <c r="EU226" s="240"/>
      <c r="EV226" s="240"/>
      <c r="EW226" s="240"/>
      <c r="EX226" s="294"/>
      <c r="EY226" s="240"/>
      <c r="EZ226" s="240"/>
      <c r="FA226" s="240"/>
      <c r="FB226" s="240"/>
      <c r="FC226" s="240"/>
      <c r="FD226" s="240"/>
      <c r="FE226" s="240"/>
      <c r="FF226" s="240"/>
      <c r="FG226" s="240"/>
      <c r="FH226" s="240"/>
      <c r="FI226" s="240"/>
      <c r="FJ226" s="240"/>
      <c r="FK226" s="240"/>
      <c r="FL226" s="240"/>
      <c r="FM226" s="240"/>
      <c r="FN226" s="240"/>
      <c r="FO226" s="294"/>
      <c r="FP226" s="240"/>
      <c r="FQ226" s="240"/>
      <c r="FR226" s="240"/>
      <c r="FS226" s="240"/>
      <c r="FT226" s="240"/>
      <c r="FU226" s="240"/>
      <c r="FV226" s="240"/>
      <c r="FW226" s="240"/>
      <c r="FX226" s="240"/>
      <c r="FY226" s="240"/>
      <c r="FZ226" s="294"/>
      <c r="GA226" s="240"/>
      <c r="GB226" s="240"/>
      <c r="GC226" s="294"/>
      <c r="GD226" s="240"/>
      <c r="GE226" s="240"/>
      <c r="GF226" s="240"/>
      <c r="GG226" s="240"/>
      <c r="GH226" s="294"/>
      <c r="GI226" s="240"/>
      <c r="GJ226" s="240"/>
      <c r="GK226" s="240"/>
      <c r="GL226" s="240"/>
      <c r="GM226" s="294"/>
      <c r="GN226" s="240"/>
      <c r="GO226" s="240"/>
      <c r="GP226" s="240"/>
      <c r="GQ226" s="240"/>
      <c r="GR226" s="240"/>
      <c r="GS226" s="240"/>
      <c r="GT226" s="240"/>
      <c r="GU226" s="240"/>
      <c r="GV226" s="240"/>
      <c r="GW226" s="240"/>
      <c r="GX226" s="240"/>
      <c r="GY226" s="240"/>
      <c r="GZ226" s="240"/>
      <c r="HA226" s="240"/>
      <c r="HB226" s="240"/>
      <c r="HC226" s="240"/>
      <c r="HD226" s="294"/>
      <c r="HE226" s="240"/>
      <c r="HF226" s="240"/>
      <c r="HG226" s="240"/>
      <c r="HH226" s="240"/>
      <c r="HI226" s="240"/>
      <c r="HJ226" s="294"/>
      <c r="HK226" s="240"/>
      <c r="HL226" s="294"/>
      <c r="HM226" s="241"/>
      <c r="HN226" s="235"/>
      <c r="HO226" s="235"/>
    </row>
    <row r="227" spans="2:225" hidden="1" outlineLevel="2">
      <c r="B227" s="275"/>
      <c r="C227" s="258" t="s">
        <v>116</v>
      </c>
      <c r="D227" s="236" t="s">
        <v>3301</v>
      </c>
      <c r="E227" s="248"/>
      <c r="F227" s="284" t="str">
        <f>IF(E227='3. Dropdowns'!C280,"","Submittals, Products")</f>
        <v>Submittals, Products</v>
      </c>
      <c r="G227" s="268"/>
      <c r="H227" s="294"/>
      <c r="I227" s="291" t="s">
        <v>890</v>
      </c>
      <c r="J227" s="292"/>
      <c r="K227" s="292"/>
      <c r="L227" s="292"/>
      <c r="M227" s="292"/>
      <c r="N227" s="292"/>
      <c r="O227" s="292"/>
      <c r="P227" s="292"/>
      <c r="Q227" s="292"/>
      <c r="R227" s="292"/>
      <c r="S227" s="292"/>
      <c r="T227" s="240" t="s">
        <v>890</v>
      </c>
      <c r="U227" s="240"/>
      <c r="V227" s="240"/>
      <c r="W227" s="240"/>
      <c r="X227" s="294"/>
      <c r="Y227" s="240"/>
      <c r="Z227" s="240"/>
      <c r="AA227" s="240"/>
      <c r="AB227" s="240"/>
      <c r="AC227" s="240"/>
      <c r="AD227" s="240"/>
      <c r="AE227" s="240"/>
      <c r="AF227" s="240"/>
      <c r="AG227" s="240"/>
      <c r="AH227" s="294"/>
      <c r="AI227" s="240"/>
      <c r="AJ227" s="240"/>
      <c r="AK227" s="240"/>
      <c r="AL227" s="240"/>
      <c r="AM227" s="294"/>
      <c r="AN227" s="240"/>
      <c r="AO227" s="240"/>
      <c r="AP227" s="240"/>
      <c r="AQ227" s="294"/>
      <c r="AR227" s="240"/>
      <c r="AS227" s="240"/>
      <c r="AT227" s="240"/>
      <c r="AU227" s="240"/>
      <c r="AV227" s="240"/>
      <c r="AW227" s="240"/>
      <c r="AX227" s="240"/>
      <c r="AY227" s="240"/>
      <c r="AZ227" s="294"/>
      <c r="BA227" s="240"/>
      <c r="BB227" s="240"/>
      <c r="BC227" s="240"/>
      <c r="BD227" s="240"/>
      <c r="BE227" s="240"/>
      <c r="BF227" s="240"/>
      <c r="BG227" s="240"/>
      <c r="BH227" s="240"/>
      <c r="BI227" s="240"/>
      <c r="BJ227" s="240"/>
      <c r="BK227" s="240"/>
      <c r="BL227" s="240"/>
      <c r="BM227" s="240"/>
      <c r="BN227" s="240"/>
      <c r="BO227" s="240"/>
      <c r="BP227" s="294"/>
      <c r="BQ227" s="240"/>
      <c r="BR227" s="240"/>
      <c r="BS227" s="240"/>
      <c r="BT227" s="240"/>
      <c r="BU227" s="240"/>
      <c r="BV227" s="240"/>
      <c r="BW227" s="240"/>
      <c r="BX227" s="240"/>
      <c r="BY227" s="240"/>
      <c r="BZ227" s="240"/>
      <c r="CA227" s="240"/>
      <c r="CB227" s="240"/>
      <c r="CC227" s="240"/>
      <c r="CD227" s="240"/>
      <c r="CE227" s="240"/>
      <c r="CF227" s="294"/>
      <c r="CG227" s="240"/>
      <c r="CH227" s="240"/>
      <c r="CI227" s="240"/>
      <c r="CJ227" s="240"/>
      <c r="CK227" s="240"/>
      <c r="CL227" s="240"/>
      <c r="CM227" s="240"/>
      <c r="CN227" s="240"/>
      <c r="CO227" s="240"/>
      <c r="CP227" s="240"/>
      <c r="CQ227" s="240"/>
      <c r="CR227" s="240"/>
      <c r="CS227" s="294"/>
      <c r="CT227" s="240" t="s">
        <v>890</v>
      </c>
      <c r="CU227" s="240"/>
      <c r="CV227" s="240"/>
      <c r="CW227" s="240"/>
      <c r="CX227" s="240"/>
      <c r="CY227" s="240"/>
      <c r="CZ227" s="240"/>
      <c r="DA227" s="240"/>
      <c r="DB227" s="240"/>
      <c r="DC227" s="240"/>
      <c r="DD227" s="240"/>
      <c r="DE227" s="240"/>
      <c r="DF227" s="294"/>
      <c r="DG227" s="240"/>
      <c r="DH227" s="240"/>
      <c r="DI227" s="240"/>
      <c r="DJ227" s="240"/>
      <c r="DK227" s="240"/>
      <c r="DL227" s="240"/>
      <c r="DM227" s="240"/>
      <c r="DN227" s="240"/>
      <c r="DO227" s="240"/>
      <c r="DP227" s="240"/>
      <c r="DQ227" s="240"/>
      <c r="DR227" s="294"/>
      <c r="DS227" s="240"/>
      <c r="DT227" s="240"/>
      <c r="DU227" s="240"/>
      <c r="DV227" s="294"/>
      <c r="DW227" s="240"/>
      <c r="DX227" s="240"/>
      <c r="DY227" s="240"/>
      <c r="DZ227" s="240"/>
      <c r="EA227" s="240"/>
      <c r="EB227" s="240"/>
      <c r="EC227" s="240"/>
      <c r="ED227" s="240"/>
      <c r="EE227" s="240"/>
      <c r="EF227" s="294"/>
      <c r="EG227" s="240"/>
      <c r="EH227" s="240"/>
      <c r="EI227" s="240"/>
      <c r="EJ227" s="294"/>
      <c r="EK227" s="240"/>
      <c r="EL227" s="294"/>
      <c r="EM227" s="240"/>
      <c r="EN227" s="240"/>
      <c r="EO227" s="240"/>
      <c r="EP227" s="240"/>
      <c r="EQ227" s="240"/>
      <c r="ER227" s="240"/>
      <c r="ES227" s="240"/>
      <c r="ET227" s="240"/>
      <c r="EU227" s="240"/>
      <c r="EV227" s="240"/>
      <c r="EW227" s="240"/>
      <c r="EX227" s="294"/>
      <c r="EY227" s="240"/>
      <c r="EZ227" s="240"/>
      <c r="FA227" s="240"/>
      <c r="FB227" s="240"/>
      <c r="FC227" s="240"/>
      <c r="FD227" s="240"/>
      <c r="FE227" s="240"/>
      <c r="FF227" s="240"/>
      <c r="FG227" s="240"/>
      <c r="FH227" s="240"/>
      <c r="FI227" s="240"/>
      <c r="FJ227" s="240"/>
      <c r="FK227" s="240"/>
      <c r="FL227" s="240"/>
      <c r="FM227" s="240"/>
      <c r="FN227" s="240"/>
      <c r="FO227" s="294"/>
      <c r="FP227" s="240"/>
      <c r="FQ227" s="240"/>
      <c r="FR227" s="240"/>
      <c r="FS227" s="240"/>
      <c r="FT227" s="240"/>
      <c r="FU227" s="240"/>
      <c r="FV227" s="240"/>
      <c r="FW227" s="240"/>
      <c r="FX227" s="240"/>
      <c r="FY227" s="240"/>
      <c r="FZ227" s="294"/>
      <c r="GA227" s="240"/>
      <c r="GB227" s="240"/>
      <c r="GC227" s="294"/>
      <c r="GD227" s="240"/>
      <c r="GE227" s="240"/>
      <c r="GF227" s="240"/>
      <c r="GG227" s="240"/>
      <c r="GH227" s="294"/>
      <c r="GI227" s="240"/>
      <c r="GJ227" s="240"/>
      <c r="GK227" s="240"/>
      <c r="GL227" s="240"/>
      <c r="GM227" s="294"/>
      <c r="GN227" s="240"/>
      <c r="GO227" s="240"/>
      <c r="GP227" s="240"/>
      <c r="GQ227" s="240"/>
      <c r="GR227" s="240"/>
      <c r="GS227" s="240"/>
      <c r="GT227" s="240"/>
      <c r="GU227" s="240"/>
      <c r="GV227" s="240"/>
      <c r="GW227" s="240"/>
      <c r="GX227" s="240"/>
      <c r="GY227" s="240"/>
      <c r="GZ227" s="240"/>
      <c r="HA227" s="240"/>
      <c r="HB227" s="240"/>
      <c r="HC227" s="240"/>
      <c r="HD227" s="294"/>
      <c r="HE227" s="240"/>
      <c r="HF227" s="240"/>
      <c r="HG227" s="240"/>
      <c r="HH227" s="240"/>
      <c r="HI227" s="240"/>
      <c r="HJ227" s="294"/>
      <c r="HK227" s="240"/>
      <c r="HL227" s="294"/>
      <c r="HM227" s="241"/>
      <c r="HN227" s="235"/>
      <c r="HO227" s="235"/>
    </row>
    <row r="228" spans="2:225" hidden="1" outlineLevel="2">
      <c r="B228" s="275"/>
      <c r="C228" s="258" t="s">
        <v>116</v>
      </c>
      <c r="D228" s="236" t="s">
        <v>3302</v>
      </c>
      <c r="E228" s="248"/>
      <c r="F228" s="284" t="s">
        <v>540</v>
      </c>
      <c r="G228" s="268"/>
      <c r="H228" s="294"/>
      <c r="I228" s="291"/>
      <c r="J228" s="292"/>
      <c r="K228" s="292"/>
      <c r="L228" s="292"/>
      <c r="M228" s="292"/>
      <c r="N228" s="292"/>
      <c r="O228" s="292"/>
      <c r="P228" s="292"/>
      <c r="Q228" s="292"/>
      <c r="R228" s="292"/>
      <c r="S228" s="292"/>
      <c r="T228" s="240" t="s">
        <v>890</v>
      </c>
      <c r="U228" s="240"/>
      <c r="V228" s="240"/>
      <c r="W228" s="240"/>
      <c r="X228" s="294"/>
      <c r="Y228" s="240"/>
      <c r="Z228" s="240"/>
      <c r="AA228" s="240"/>
      <c r="AB228" s="240"/>
      <c r="AC228" s="240"/>
      <c r="AD228" s="240"/>
      <c r="AE228" s="240"/>
      <c r="AF228" s="240"/>
      <c r="AG228" s="240"/>
      <c r="AH228" s="294"/>
      <c r="AI228" s="240"/>
      <c r="AJ228" s="240"/>
      <c r="AK228" s="240"/>
      <c r="AL228" s="240"/>
      <c r="AM228" s="294"/>
      <c r="AN228" s="240"/>
      <c r="AO228" s="240"/>
      <c r="AP228" s="240"/>
      <c r="AQ228" s="294"/>
      <c r="AR228" s="240"/>
      <c r="AS228" s="240"/>
      <c r="AT228" s="240"/>
      <c r="AU228" s="240"/>
      <c r="AV228" s="240"/>
      <c r="AW228" s="240"/>
      <c r="AX228" s="240"/>
      <c r="AY228" s="240"/>
      <c r="AZ228" s="294"/>
      <c r="BA228" s="240"/>
      <c r="BB228" s="240"/>
      <c r="BC228" s="240"/>
      <c r="BD228" s="240"/>
      <c r="BE228" s="240"/>
      <c r="BF228" s="240"/>
      <c r="BG228" s="240"/>
      <c r="BH228" s="240"/>
      <c r="BI228" s="240"/>
      <c r="BJ228" s="240"/>
      <c r="BK228" s="240"/>
      <c r="BL228" s="240"/>
      <c r="BM228" s="240"/>
      <c r="BN228" s="240"/>
      <c r="BO228" s="240"/>
      <c r="BP228" s="294"/>
      <c r="BQ228" s="240"/>
      <c r="BR228" s="240" t="s">
        <v>890</v>
      </c>
      <c r="BS228" s="240" t="s">
        <v>890</v>
      </c>
      <c r="BT228" s="240"/>
      <c r="BU228" s="240"/>
      <c r="BV228" s="240" t="s">
        <v>890</v>
      </c>
      <c r="BW228" s="240"/>
      <c r="BX228" s="240"/>
      <c r="BY228" s="240"/>
      <c r="BZ228" s="240"/>
      <c r="CA228" s="240"/>
      <c r="CB228" s="240"/>
      <c r="CC228" s="240"/>
      <c r="CD228" s="240"/>
      <c r="CE228" s="240"/>
      <c r="CF228" s="294"/>
      <c r="CG228" s="240"/>
      <c r="CH228" s="240"/>
      <c r="CI228" s="240"/>
      <c r="CJ228" s="240"/>
      <c r="CK228" s="240"/>
      <c r="CL228" s="240"/>
      <c r="CM228" s="240"/>
      <c r="CN228" s="240"/>
      <c r="CO228" s="240"/>
      <c r="CP228" s="240"/>
      <c r="CQ228" s="240"/>
      <c r="CR228" s="240"/>
      <c r="CS228" s="294"/>
      <c r="CT228" s="240"/>
      <c r="CU228" s="240"/>
      <c r="CV228" s="240"/>
      <c r="CW228" s="240"/>
      <c r="CX228" s="240"/>
      <c r="CY228" s="240"/>
      <c r="CZ228" s="240"/>
      <c r="DA228" s="240"/>
      <c r="DB228" s="240"/>
      <c r="DC228" s="240"/>
      <c r="DD228" s="240"/>
      <c r="DE228" s="240"/>
      <c r="DF228" s="294"/>
      <c r="DG228" s="240"/>
      <c r="DH228" s="240"/>
      <c r="DI228" s="240"/>
      <c r="DJ228" s="240"/>
      <c r="DK228" s="240"/>
      <c r="DL228" s="240"/>
      <c r="DM228" s="240"/>
      <c r="DN228" s="240"/>
      <c r="DO228" s="240"/>
      <c r="DP228" s="240"/>
      <c r="DQ228" s="240"/>
      <c r="DR228" s="294"/>
      <c r="DS228" s="240"/>
      <c r="DT228" s="240"/>
      <c r="DU228" s="240"/>
      <c r="DV228" s="294"/>
      <c r="DW228" s="240"/>
      <c r="DX228" s="240"/>
      <c r="DY228" s="240"/>
      <c r="DZ228" s="240"/>
      <c r="EA228" s="240"/>
      <c r="EB228" s="240"/>
      <c r="EC228" s="240"/>
      <c r="ED228" s="240"/>
      <c r="EE228" s="240"/>
      <c r="EF228" s="294"/>
      <c r="EG228" s="240"/>
      <c r="EH228" s="240"/>
      <c r="EI228" s="240"/>
      <c r="EJ228" s="294"/>
      <c r="EK228" s="240"/>
      <c r="EL228" s="294"/>
      <c r="EM228" s="240"/>
      <c r="EN228" s="240"/>
      <c r="EO228" s="240"/>
      <c r="EP228" s="240"/>
      <c r="EQ228" s="240"/>
      <c r="ER228" s="240"/>
      <c r="ES228" s="240"/>
      <c r="ET228" s="240"/>
      <c r="EU228" s="240"/>
      <c r="EV228" s="240"/>
      <c r="EW228" s="240"/>
      <c r="EX228" s="294"/>
      <c r="EY228" s="240"/>
      <c r="EZ228" s="240"/>
      <c r="FA228" s="240"/>
      <c r="FB228" s="240"/>
      <c r="FC228" s="240"/>
      <c r="FD228" s="240"/>
      <c r="FE228" s="240"/>
      <c r="FF228" s="240"/>
      <c r="FG228" s="240"/>
      <c r="FH228" s="240"/>
      <c r="FI228" s="240"/>
      <c r="FJ228" s="240"/>
      <c r="FK228" s="240"/>
      <c r="FL228" s="240"/>
      <c r="FM228" s="240"/>
      <c r="FN228" s="240"/>
      <c r="FO228" s="294"/>
      <c r="FP228" s="240"/>
      <c r="FQ228" s="240"/>
      <c r="FR228" s="240"/>
      <c r="FS228" s="240"/>
      <c r="FT228" s="240"/>
      <c r="FU228" s="240"/>
      <c r="FV228" s="240"/>
      <c r="FW228" s="240"/>
      <c r="FX228" s="240"/>
      <c r="FY228" s="240"/>
      <c r="FZ228" s="294"/>
      <c r="GA228" s="240"/>
      <c r="GB228" s="240"/>
      <c r="GC228" s="294"/>
      <c r="GD228" s="240"/>
      <c r="GE228" s="240"/>
      <c r="GF228" s="240"/>
      <c r="GG228" s="240"/>
      <c r="GH228" s="294"/>
      <c r="GI228" s="240"/>
      <c r="GJ228" s="240"/>
      <c r="GK228" s="240"/>
      <c r="GL228" s="240"/>
      <c r="GM228" s="294"/>
      <c r="GN228" s="240"/>
      <c r="GO228" s="240"/>
      <c r="GP228" s="240"/>
      <c r="GQ228" s="240"/>
      <c r="GR228" s="240"/>
      <c r="GS228" s="240"/>
      <c r="GT228" s="240"/>
      <c r="GU228" s="240"/>
      <c r="GV228" s="240"/>
      <c r="GW228" s="240"/>
      <c r="GX228" s="240"/>
      <c r="GY228" s="240"/>
      <c r="GZ228" s="240"/>
      <c r="HA228" s="240"/>
      <c r="HB228" s="240"/>
      <c r="HC228" s="240"/>
      <c r="HD228" s="294"/>
      <c r="HE228" s="240"/>
      <c r="HF228" s="240"/>
      <c r="HG228" s="240"/>
      <c r="HH228" s="240"/>
      <c r="HI228" s="240"/>
      <c r="HJ228" s="294"/>
      <c r="HK228" s="240"/>
      <c r="HL228" s="294"/>
      <c r="HM228" s="241"/>
      <c r="HN228" s="235"/>
      <c r="HO228" s="235"/>
    </row>
    <row r="229" spans="2:225" hidden="1" outlineLevel="2">
      <c r="B229" s="275"/>
      <c r="C229" s="258" t="s">
        <v>116</v>
      </c>
      <c r="D229" s="236" t="s">
        <v>3303</v>
      </c>
      <c r="E229" s="248"/>
      <c r="F229" s="284" t="s">
        <v>894</v>
      </c>
      <c r="G229" s="315"/>
      <c r="H229" s="294"/>
      <c r="I229" s="291" t="s">
        <v>890</v>
      </c>
      <c r="J229" s="292" t="s">
        <v>890</v>
      </c>
      <c r="K229" s="292"/>
      <c r="L229" s="292"/>
      <c r="M229" s="292"/>
      <c r="N229" s="292"/>
      <c r="O229" s="292"/>
      <c r="P229" s="292"/>
      <c r="Q229" s="292"/>
      <c r="R229" s="292"/>
      <c r="S229" s="292"/>
      <c r="T229" s="240" t="s">
        <v>890</v>
      </c>
      <c r="U229" s="240"/>
      <c r="V229" s="240"/>
      <c r="W229" s="240"/>
      <c r="X229" s="294"/>
      <c r="Y229" s="240"/>
      <c r="Z229" s="240"/>
      <c r="AA229" s="240"/>
      <c r="AB229" s="240"/>
      <c r="AC229" s="240"/>
      <c r="AD229" s="240"/>
      <c r="AE229" s="240"/>
      <c r="AF229" s="240"/>
      <c r="AG229" s="240"/>
      <c r="AH229" s="294"/>
      <c r="AI229" s="240"/>
      <c r="AJ229" s="240"/>
      <c r="AK229" s="240"/>
      <c r="AL229" s="240"/>
      <c r="AM229" s="294"/>
      <c r="AN229" s="240"/>
      <c r="AO229" s="240"/>
      <c r="AP229" s="240"/>
      <c r="AQ229" s="294"/>
      <c r="AR229" s="240"/>
      <c r="AS229" s="240"/>
      <c r="AT229" s="240"/>
      <c r="AU229" s="240"/>
      <c r="AV229" s="240"/>
      <c r="AW229" s="240"/>
      <c r="AX229" s="240"/>
      <c r="AY229" s="240"/>
      <c r="AZ229" s="294"/>
      <c r="BA229" s="240"/>
      <c r="BB229" s="240"/>
      <c r="BC229" s="240" t="s">
        <v>890</v>
      </c>
      <c r="BD229" s="240"/>
      <c r="BE229" s="240"/>
      <c r="BF229" s="240"/>
      <c r="BG229" s="240"/>
      <c r="BH229" s="240"/>
      <c r="BI229" s="240"/>
      <c r="BJ229" s="240"/>
      <c r="BK229" s="240"/>
      <c r="BL229" s="240"/>
      <c r="BM229" s="240"/>
      <c r="BN229" s="240"/>
      <c r="BO229" s="240"/>
      <c r="BP229" s="294"/>
      <c r="BQ229" s="240"/>
      <c r="BR229" s="240"/>
      <c r="BS229" s="240"/>
      <c r="BT229" s="240"/>
      <c r="BU229" s="240"/>
      <c r="BV229" s="240"/>
      <c r="BW229" s="240"/>
      <c r="BX229" s="240"/>
      <c r="BY229" s="240"/>
      <c r="BZ229" s="240"/>
      <c r="CA229" s="240"/>
      <c r="CB229" s="240"/>
      <c r="CC229" s="240"/>
      <c r="CD229" s="240"/>
      <c r="CE229" s="240"/>
      <c r="CF229" s="294"/>
      <c r="CG229" s="240"/>
      <c r="CH229" s="240"/>
      <c r="CI229" s="240"/>
      <c r="CJ229" s="240"/>
      <c r="CK229" s="240"/>
      <c r="CL229" s="240"/>
      <c r="CM229" s="240"/>
      <c r="CN229" s="240"/>
      <c r="CO229" s="240"/>
      <c r="CP229" s="240"/>
      <c r="CQ229" s="240"/>
      <c r="CR229" s="240"/>
      <c r="CS229" s="294"/>
      <c r="CT229" s="240"/>
      <c r="CU229" s="240"/>
      <c r="CV229" s="240"/>
      <c r="CW229" s="240" t="s">
        <v>890</v>
      </c>
      <c r="CX229" s="240" t="s">
        <v>890</v>
      </c>
      <c r="CY229" s="240"/>
      <c r="CZ229" s="240"/>
      <c r="DA229" s="240" t="s">
        <v>890</v>
      </c>
      <c r="DB229" s="240"/>
      <c r="DC229" s="240"/>
      <c r="DD229" s="240" t="s">
        <v>890</v>
      </c>
      <c r="DE229" s="240" t="s">
        <v>890</v>
      </c>
      <c r="DF229" s="294"/>
      <c r="DG229" s="240"/>
      <c r="DH229" s="240"/>
      <c r="DI229" s="240"/>
      <c r="DJ229" s="240"/>
      <c r="DK229" s="240"/>
      <c r="DL229" s="240"/>
      <c r="DM229" s="240"/>
      <c r="DN229" s="240"/>
      <c r="DO229" s="240"/>
      <c r="DP229" s="240"/>
      <c r="DQ229" s="240"/>
      <c r="DR229" s="294"/>
      <c r="DS229" s="240"/>
      <c r="DT229" s="240"/>
      <c r="DU229" s="240"/>
      <c r="DV229" s="294"/>
      <c r="DW229" s="240"/>
      <c r="DX229" s="240"/>
      <c r="DY229" s="240"/>
      <c r="DZ229" s="240"/>
      <c r="EA229" s="240"/>
      <c r="EB229" s="240"/>
      <c r="EC229" s="240"/>
      <c r="ED229" s="240"/>
      <c r="EE229" s="240"/>
      <c r="EF229" s="294"/>
      <c r="EG229" s="240"/>
      <c r="EH229" s="240"/>
      <c r="EI229" s="240"/>
      <c r="EJ229" s="294"/>
      <c r="EK229" s="240"/>
      <c r="EL229" s="294"/>
      <c r="EM229" s="240"/>
      <c r="EN229" s="240"/>
      <c r="EO229" s="240"/>
      <c r="EP229" s="240"/>
      <c r="EQ229" s="240"/>
      <c r="ER229" s="240"/>
      <c r="ES229" s="240"/>
      <c r="ET229" s="240"/>
      <c r="EU229" s="240"/>
      <c r="EV229" s="240"/>
      <c r="EW229" s="240"/>
      <c r="EX229" s="294"/>
      <c r="EY229" s="240"/>
      <c r="EZ229" s="240"/>
      <c r="FA229" s="240"/>
      <c r="FB229" s="240"/>
      <c r="FC229" s="240"/>
      <c r="FD229" s="240"/>
      <c r="FE229" s="240"/>
      <c r="FF229" s="240"/>
      <c r="FG229" s="240"/>
      <c r="FH229" s="240"/>
      <c r="FI229" s="240"/>
      <c r="FJ229" s="240"/>
      <c r="FK229" s="240"/>
      <c r="FL229" s="240"/>
      <c r="FM229" s="240"/>
      <c r="FN229" s="240"/>
      <c r="FO229" s="294"/>
      <c r="FP229" s="240"/>
      <c r="FQ229" s="240"/>
      <c r="FR229" s="240"/>
      <c r="FS229" s="240"/>
      <c r="FT229" s="240"/>
      <c r="FU229" s="240"/>
      <c r="FV229" s="240"/>
      <c r="FW229" s="240"/>
      <c r="FX229" s="240"/>
      <c r="FY229" s="240"/>
      <c r="FZ229" s="294"/>
      <c r="GA229" s="240"/>
      <c r="GB229" s="240"/>
      <c r="GC229" s="294"/>
      <c r="GD229" s="240"/>
      <c r="GE229" s="240"/>
      <c r="GF229" s="240"/>
      <c r="GG229" s="240"/>
      <c r="GH229" s="294"/>
      <c r="GI229" s="240"/>
      <c r="GJ229" s="240"/>
      <c r="GK229" s="240"/>
      <c r="GL229" s="240"/>
      <c r="GM229" s="294"/>
      <c r="GN229" s="240"/>
      <c r="GO229" s="240"/>
      <c r="GP229" s="240"/>
      <c r="GQ229" s="240"/>
      <c r="GR229" s="240"/>
      <c r="GS229" s="240"/>
      <c r="GT229" s="240"/>
      <c r="GU229" s="240"/>
      <c r="GV229" s="240"/>
      <c r="GW229" s="240"/>
      <c r="GX229" s="240"/>
      <c r="GY229" s="240"/>
      <c r="GZ229" s="240"/>
      <c r="HA229" s="240"/>
      <c r="HB229" s="240"/>
      <c r="HC229" s="240"/>
      <c r="HD229" s="294"/>
      <c r="HE229" s="240"/>
      <c r="HF229" s="240"/>
      <c r="HG229" s="240"/>
      <c r="HH229" s="240"/>
      <c r="HI229" s="240"/>
      <c r="HJ229" s="294"/>
      <c r="HK229" s="240"/>
      <c r="HL229" s="294"/>
      <c r="HM229" s="241"/>
      <c r="HN229" s="235"/>
      <c r="HO229" s="235"/>
    </row>
    <row r="230" spans="2:225" hidden="1" outlineLevel="2">
      <c r="B230" s="275"/>
      <c r="C230" s="258" t="s">
        <v>116</v>
      </c>
      <c r="D230" s="236" t="s">
        <v>3304</v>
      </c>
      <c r="E230" s="248"/>
      <c r="F230" s="284" t="str">
        <f>IF(E230='3. Dropdowns'!C290,"","Submittals, Products")</f>
        <v>Submittals, Products</v>
      </c>
      <c r="G230" s="268"/>
      <c r="H230" s="294"/>
      <c r="I230" s="291" t="s">
        <v>890</v>
      </c>
      <c r="J230" s="292" t="s">
        <v>890</v>
      </c>
      <c r="K230" s="292"/>
      <c r="L230" s="292"/>
      <c r="M230" s="292"/>
      <c r="N230" s="292"/>
      <c r="O230" s="292"/>
      <c r="P230" s="292"/>
      <c r="Q230" s="292"/>
      <c r="R230" s="292"/>
      <c r="S230" s="292"/>
      <c r="T230" s="240" t="s">
        <v>890</v>
      </c>
      <c r="U230" s="240"/>
      <c r="V230" s="240"/>
      <c r="W230" s="240"/>
      <c r="X230" s="294"/>
      <c r="Y230" s="240"/>
      <c r="Z230" s="240"/>
      <c r="AA230" s="240"/>
      <c r="AB230" s="240"/>
      <c r="AC230" s="240"/>
      <c r="AD230" s="240"/>
      <c r="AE230" s="240"/>
      <c r="AF230" s="240"/>
      <c r="AG230" s="240"/>
      <c r="AH230" s="294"/>
      <c r="AI230" s="240"/>
      <c r="AJ230" s="240"/>
      <c r="AK230" s="240"/>
      <c r="AL230" s="240"/>
      <c r="AM230" s="294"/>
      <c r="AN230" s="240"/>
      <c r="AO230" s="240"/>
      <c r="AP230" s="240"/>
      <c r="AQ230" s="294"/>
      <c r="AR230" s="240"/>
      <c r="AS230" s="240" t="s">
        <v>890</v>
      </c>
      <c r="AT230" s="240" t="s">
        <v>890</v>
      </c>
      <c r="AU230" s="240"/>
      <c r="AV230" s="240" t="s">
        <v>890</v>
      </c>
      <c r="AW230" s="240"/>
      <c r="AX230" s="240" t="s">
        <v>890</v>
      </c>
      <c r="AY230" s="240"/>
      <c r="AZ230" s="294"/>
      <c r="BA230" s="240"/>
      <c r="BB230" s="240"/>
      <c r="BC230" s="240"/>
      <c r="BD230" s="240"/>
      <c r="BE230" s="240"/>
      <c r="BF230" s="240"/>
      <c r="BG230" s="240"/>
      <c r="BH230" s="240"/>
      <c r="BI230" s="240"/>
      <c r="BJ230" s="240"/>
      <c r="BK230" s="240"/>
      <c r="BL230" s="240"/>
      <c r="BM230" s="240"/>
      <c r="BN230" s="240"/>
      <c r="BO230" s="240"/>
      <c r="BP230" s="294"/>
      <c r="BQ230" s="240"/>
      <c r="BR230" s="240"/>
      <c r="BS230" s="240"/>
      <c r="BT230" s="240"/>
      <c r="BU230" s="240"/>
      <c r="BV230" s="240"/>
      <c r="BW230" s="240"/>
      <c r="BX230" s="240"/>
      <c r="BY230" s="240"/>
      <c r="BZ230" s="240"/>
      <c r="CA230" s="240"/>
      <c r="CB230" s="240"/>
      <c r="CC230" s="240"/>
      <c r="CD230" s="240"/>
      <c r="CE230" s="240"/>
      <c r="CF230" s="294"/>
      <c r="CG230" s="240"/>
      <c r="CH230" s="240"/>
      <c r="CI230" s="240"/>
      <c r="CJ230" s="240"/>
      <c r="CK230" s="240"/>
      <c r="CL230" s="240"/>
      <c r="CM230" s="240"/>
      <c r="CN230" s="240"/>
      <c r="CO230" s="240"/>
      <c r="CP230" s="240"/>
      <c r="CQ230" s="240"/>
      <c r="CR230" s="240"/>
      <c r="CS230" s="294"/>
      <c r="CT230" s="240"/>
      <c r="CU230" s="240"/>
      <c r="CV230" s="240"/>
      <c r="CW230" s="240"/>
      <c r="CX230" s="240"/>
      <c r="CY230" s="240"/>
      <c r="CZ230" s="240"/>
      <c r="DA230" s="240"/>
      <c r="DB230" s="240"/>
      <c r="DC230" s="240"/>
      <c r="DD230" s="240"/>
      <c r="DE230" s="240"/>
      <c r="DF230" s="294"/>
      <c r="DG230" s="240"/>
      <c r="DH230" s="240"/>
      <c r="DI230" s="240"/>
      <c r="DJ230" s="240"/>
      <c r="DK230" s="240"/>
      <c r="DL230" s="240"/>
      <c r="DM230" s="240"/>
      <c r="DN230" s="240"/>
      <c r="DO230" s="240"/>
      <c r="DP230" s="240"/>
      <c r="DQ230" s="240"/>
      <c r="DR230" s="294"/>
      <c r="DS230" s="240"/>
      <c r="DT230" s="240"/>
      <c r="DU230" s="240"/>
      <c r="DV230" s="294"/>
      <c r="DW230" s="240"/>
      <c r="DX230" s="240"/>
      <c r="DY230" s="240"/>
      <c r="DZ230" s="240"/>
      <c r="EA230" s="240"/>
      <c r="EB230" s="240"/>
      <c r="EC230" s="240"/>
      <c r="ED230" s="240"/>
      <c r="EE230" s="240"/>
      <c r="EF230" s="294"/>
      <c r="EG230" s="240"/>
      <c r="EH230" s="240"/>
      <c r="EI230" s="240"/>
      <c r="EJ230" s="294"/>
      <c r="EK230" s="240"/>
      <c r="EL230" s="294"/>
      <c r="EM230" s="240"/>
      <c r="EN230" s="240"/>
      <c r="EO230" s="240"/>
      <c r="EP230" s="240"/>
      <c r="EQ230" s="240"/>
      <c r="ER230" s="240"/>
      <c r="ES230" s="240"/>
      <c r="ET230" s="240"/>
      <c r="EU230" s="240"/>
      <c r="EV230" s="240"/>
      <c r="EW230" s="240"/>
      <c r="EX230" s="294"/>
      <c r="EY230" s="240"/>
      <c r="EZ230" s="240"/>
      <c r="FA230" s="240"/>
      <c r="FB230" s="240"/>
      <c r="FC230" s="240"/>
      <c r="FD230" s="240"/>
      <c r="FE230" s="240"/>
      <c r="FF230" s="240"/>
      <c r="FG230" s="240"/>
      <c r="FH230" s="240"/>
      <c r="FI230" s="240"/>
      <c r="FJ230" s="240"/>
      <c r="FK230" s="240"/>
      <c r="FL230" s="240"/>
      <c r="FM230" s="240"/>
      <c r="FN230" s="240"/>
      <c r="FO230" s="294"/>
      <c r="FP230" s="240"/>
      <c r="FQ230" s="240"/>
      <c r="FR230" s="240"/>
      <c r="FS230" s="240"/>
      <c r="FT230" s="240"/>
      <c r="FU230" s="240"/>
      <c r="FV230" s="240"/>
      <c r="FW230" s="240"/>
      <c r="FX230" s="240"/>
      <c r="FY230" s="240"/>
      <c r="FZ230" s="294"/>
      <c r="GA230" s="240"/>
      <c r="GB230" s="240"/>
      <c r="GC230" s="294"/>
      <c r="GD230" s="240"/>
      <c r="GE230" s="240"/>
      <c r="GF230" s="240"/>
      <c r="GG230" s="240"/>
      <c r="GH230" s="294"/>
      <c r="GI230" s="240"/>
      <c r="GJ230" s="240"/>
      <c r="GK230" s="240"/>
      <c r="GL230" s="240"/>
      <c r="GM230" s="294"/>
      <c r="GN230" s="240"/>
      <c r="GO230" s="240"/>
      <c r="GP230" s="240"/>
      <c r="GQ230" s="240"/>
      <c r="GR230" s="240"/>
      <c r="GS230" s="240"/>
      <c r="GT230" s="240"/>
      <c r="GU230" s="240"/>
      <c r="GV230" s="240"/>
      <c r="GW230" s="240"/>
      <c r="GX230" s="240"/>
      <c r="GY230" s="240"/>
      <c r="GZ230" s="240"/>
      <c r="HA230" s="240"/>
      <c r="HB230" s="240"/>
      <c r="HC230" s="240"/>
      <c r="HD230" s="294"/>
      <c r="HE230" s="240"/>
      <c r="HF230" s="240"/>
      <c r="HG230" s="240"/>
      <c r="HH230" s="240"/>
      <c r="HI230" s="240"/>
      <c r="HJ230" s="294"/>
      <c r="HK230" s="240"/>
      <c r="HL230" s="294"/>
      <c r="HM230" s="241"/>
      <c r="HN230" s="235"/>
      <c r="HO230" s="235"/>
    </row>
    <row r="231" spans="2:225" hidden="1" outlineLevel="2">
      <c r="B231" s="275"/>
      <c r="C231" s="258" t="s">
        <v>116</v>
      </c>
      <c r="D231" s="236" t="s">
        <v>3305</v>
      </c>
      <c r="E231" s="237"/>
      <c r="F231" s="284" t="s">
        <v>539</v>
      </c>
      <c r="G231" s="268"/>
      <c r="H231" s="294"/>
      <c r="I231" s="291"/>
      <c r="J231" s="292"/>
      <c r="K231" s="292"/>
      <c r="L231" s="292"/>
      <c r="M231" s="292"/>
      <c r="N231" s="292"/>
      <c r="O231" s="292"/>
      <c r="P231" s="292"/>
      <c r="Q231" s="292"/>
      <c r="R231" s="292"/>
      <c r="S231" s="292"/>
      <c r="T231" s="240" t="s">
        <v>890</v>
      </c>
      <c r="U231" s="240"/>
      <c r="V231" s="240"/>
      <c r="W231" s="240"/>
      <c r="X231" s="294"/>
      <c r="Y231" s="240"/>
      <c r="Z231" s="240"/>
      <c r="AA231" s="240"/>
      <c r="AB231" s="240"/>
      <c r="AC231" s="240"/>
      <c r="AD231" s="240"/>
      <c r="AE231" s="240"/>
      <c r="AF231" s="240"/>
      <c r="AG231" s="240"/>
      <c r="AH231" s="294"/>
      <c r="AI231" s="240"/>
      <c r="AJ231" s="240"/>
      <c r="AK231" s="240"/>
      <c r="AL231" s="240"/>
      <c r="AM231" s="294"/>
      <c r="AN231" s="240"/>
      <c r="AO231" s="240"/>
      <c r="AP231" s="240"/>
      <c r="AQ231" s="294"/>
      <c r="AR231" s="240"/>
      <c r="AS231" s="240"/>
      <c r="AT231" s="240"/>
      <c r="AU231" s="240"/>
      <c r="AV231" s="240"/>
      <c r="AW231" s="240"/>
      <c r="AX231" s="240"/>
      <c r="AY231" s="240"/>
      <c r="AZ231" s="294"/>
      <c r="BA231" s="240"/>
      <c r="BB231" s="240"/>
      <c r="BC231" s="240"/>
      <c r="BD231" s="240"/>
      <c r="BE231" s="240"/>
      <c r="BF231" s="240"/>
      <c r="BG231" s="240"/>
      <c r="BH231" s="240"/>
      <c r="BI231" s="240"/>
      <c r="BJ231" s="240"/>
      <c r="BK231" s="240"/>
      <c r="BL231" s="240"/>
      <c r="BM231" s="240"/>
      <c r="BN231" s="240"/>
      <c r="BO231" s="240"/>
      <c r="BP231" s="294"/>
      <c r="BQ231" s="240"/>
      <c r="BR231" s="240"/>
      <c r="BS231" s="240"/>
      <c r="BT231" s="240"/>
      <c r="BU231" s="240"/>
      <c r="BV231" s="240"/>
      <c r="BW231" s="240"/>
      <c r="BX231" s="240"/>
      <c r="BY231" s="240"/>
      <c r="BZ231" s="240"/>
      <c r="CA231" s="240"/>
      <c r="CB231" s="240"/>
      <c r="CC231" s="240"/>
      <c r="CD231" s="240"/>
      <c r="CE231" s="240"/>
      <c r="CF231" s="294"/>
      <c r="CG231" s="240"/>
      <c r="CH231" s="240"/>
      <c r="CI231" s="240"/>
      <c r="CJ231" s="240"/>
      <c r="CK231" s="240"/>
      <c r="CL231" s="240"/>
      <c r="CM231" s="240"/>
      <c r="CN231" s="240"/>
      <c r="CO231" s="240"/>
      <c r="CP231" s="240"/>
      <c r="CQ231" s="240"/>
      <c r="CR231" s="240"/>
      <c r="CS231" s="294"/>
      <c r="CT231" s="240"/>
      <c r="CU231" s="240"/>
      <c r="CV231" s="240"/>
      <c r="CW231" s="240"/>
      <c r="CX231" s="240"/>
      <c r="CY231" s="240" t="s">
        <v>890</v>
      </c>
      <c r="CZ231" s="240"/>
      <c r="DA231" s="240" t="s">
        <v>890</v>
      </c>
      <c r="DB231" s="240"/>
      <c r="DC231" s="240"/>
      <c r="DD231" s="240"/>
      <c r="DE231" s="240"/>
      <c r="DF231" s="294"/>
      <c r="DG231" s="240"/>
      <c r="DH231" s="240"/>
      <c r="DI231" s="240"/>
      <c r="DJ231" s="240"/>
      <c r="DK231" s="240"/>
      <c r="DL231" s="240"/>
      <c r="DM231" s="240"/>
      <c r="DN231" s="240"/>
      <c r="DO231" s="240"/>
      <c r="DP231" s="240"/>
      <c r="DQ231" s="240"/>
      <c r="DR231" s="294"/>
      <c r="DS231" s="240"/>
      <c r="DT231" s="240"/>
      <c r="DU231" s="240"/>
      <c r="DV231" s="294"/>
      <c r="DW231" s="240"/>
      <c r="DX231" s="240"/>
      <c r="DY231" s="240"/>
      <c r="DZ231" s="240"/>
      <c r="EA231" s="240"/>
      <c r="EB231" s="240"/>
      <c r="EC231" s="240"/>
      <c r="ED231" s="240"/>
      <c r="EE231" s="240"/>
      <c r="EF231" s="294"/>
      <c r="EG231" s="240"/>
      <c r="EH231" s="240"/>
      <c r="EI231" s="240"/>
      <c r="EJ231" s="294"/>
      <c r="EK231" s="240"/>
      <c r="EL231" s="294"/>
      <c r="EM231" s="240"/>
      <c r="EN231" s="240"/>
      <c r="EO231" s="240"/>
      <c r="EP231" s="240"/>
      <c r="EQ231" s="240"/>
      <c r="ER231" s="240"/>
      <c r="ES231" s="240"/>
      <c r="ET231" s="240"/>
      <c r="EU231" s="240"/>
      <c r="EV231" s="240"/>
      <c r="EW231" s="240"/>
      <c r="EX231" s="294"/>
      <c r="EY231" s="240"/>
      <c r="EZ231" s="240"/>
      <c r="FA231" s="240"/>
      <c r="FB231" s="240"/>
      <c r="FC231" s="240"/>
      <c r="FD231" s="240"/>
      <c r="FE231" s="240"/>
      <c r="FF231" s="240"/>
      <c r="FG231" s="240"/>
      <c r="FH231" s="240"/>
      <c r="FI231" s="240"/>
      <c r="FJ231" s="240"/>
      <c r="FK231" s="240"/>
      <c r="FL231" s="240"/>
      <c r="FM231" s="240"/>
      <c r="FN231" s="240"/>
      <c r="FO231" s="294"/>
      <c r="FP231" s="240"/>
      <c r="FQ231" s="240"/>
      <c r="FR231" s="240"/>
      <c r="FS231" s="240"/>
      <c r="FT231" s="240"/>
      <c r="FU231" s="240"/>
      <c r="FV231" s="240"/>
      <c r="FW231" s="240"/>
      <c r="FX231" s="240"/>
      <c r="FY231" s="240"/>
      <c r="FZ231" s="294"/>
      <c r="GA231" s="240"/>
      <c r="GB231" s="240"/>
      <c r="GC231" s="294"/>
      <c r="GD231" s="240"/>
      <c r="GE231" s="240"/>
      <c r="GF231" s="240"/>
      <c r="GG231" s="240"/>
      <c r="GH231" s="294"/>
      <c r="GI231" s="240"/>
      <c r="GJ231" s="240"/>
      <c r="GK231" s="240"/>
      <c r="GL231" s="240"/>
      <c r="GM231" s="294"/>
      <c r="GN231" s="240"/>
      <c r="GO231" s="240"/>
      <c r="GP231" s="240"/>
      <c r="GQ231" s="240"/>
      <c r="GR231" s="240"/>
      <c r="GS231" s="240"/>
      <c r="GT231" s="240"/>
      <c r="GU231" s="240"/>
      <c r="GV231" s="240"/>
      <c r="GW231" s="240"/>
      <c r="GX231" s="240"/>
      <c r="GY231" s="240"/>
      <c r="GZ231" s="240"/>
      <c r="HA231" s="240"/>
      <c r="HB231" s="240"/>
      <c r="HC231" s="240"/>
      <c r="HD231" s="294"/>
      <c r="HE231" s="240"/>
      <c r="HF231" s="240"/>
      <c r="HG231" s="240"/>
      <c r="HH231" s="240"/>
      <c r="HI231" s="240"/>
      <c r="HJ231" s="294"/>
      <c r="HK231" s="240"/>
      <c r="HL231" s="294"/>
      <c r="HM231" s="241"/>
      <c r="HN231" s="235"/>
      <c r="HO231" s="235"/>
    </row>
    <row r="232" spans="2:225" hidden="1" outlineLevel="2">
      <c r="B232" s="275"/>
      <c r="C232" s="258" t="s">
        <v>116</v>
      </c>
      <c r="D232" s="236" t="s">
        <v>3306</v>
      </c>
      <c r="E232" s="248"/>
      <c r="F232" s="284" t="s">
        <v>894</v>
      </c>
      <c r="G232" s="268"/>
      <c r="H232" s="294"/>
      <c r="I232" s="291" t="s">
        <v>890</v>
      </c>
      <c r="J232" s="292" t="s">
        <v>890</v>
      </c>
      <c r="K232" s="292"/>
      <c r="L232" s="292"/>
      <c r="M232" s="292"/>
      <c r="N232" s="292"/>
      <c r="O232" s="292"/>
      <c r="P232" s="292"/>
      <c r="Q232" s="292"/>
      <c r="R232" s="292"/>
      <c r="S232" s="292"/>
      <c r="T232" s="240" t="s">
        <v>890</v>
      </c>
      <c r="U232" s="240"/>
      <c r="V232" s="240"/>
      <c r="W232" s="240"/>
      <c r="X232" s="294"/>
      <c r="Y232" s="240"/>
      <c r="Z232" s="240"/>
      <c r="AA232" s="240"/>
      <c r="AB232" s="240"/>
      <c r="AC232" s="240"/>
      <c r="AD232" s="240"/>
      <c r="AE232" s="240"/>
      <c r="AF232" s="240"/>
      <c r="AG232" s="240"/>
      <c r="AH232" s="294"/>
      <c r="AI232" s="240"/>
      <c r="AJ232" s="240"/>
      <c r="AK232" s="240"/>
      <c r="AL232" s="240"/>
      <c r="AM232" s="294"/>
      <c r="AN232" s="240"/>
      <c r="AO232" s="240"/>
      <c r="AP232" s="240"/>
      <c r="AQ232" s="294"/>
      <c r="AR232" s="240"/>
      <c r="AS232" s="240"/>
      <c r="AT232" s="240"/>
      <c r="AU232" s="240"/>
      <c r="AV232" s="240"/>
      <c r="AW232" s="240"/>
      <c r="AX232" s="240"/>
      <c r="AY232" s="240"/>
      <c r="AZ232" s="294"/>
      <c r="BA232" s="240"/>
      <c r="BB232" s="240"/>
      <c r="BC232" s="240"/>
      <c r="BD232" s="240"/>
      <c r="BE232" s="240"/>
      <c r="BF232" s="240"/>
      <c r="BG232" s="240"/>
      <c r="BH232" s="240"/>
      <c r="BI232" s="240"/>
      <c r="BJ232" s="240"/>
      <c r="BK232" s="240" t="s">
        <v>890</v>
      </c>
      <c r="BL232" s="240"/>
      <c r="BM232" s="240"/>
      <c r="BN232" s="240"/>
      <c r="BO232" s="240"/>
      <c r="BP232" s="294"/>
      <c r="BQ232" s="240"/>
      <c r="BR232" s="240"/>
      <c r="BS232" s="240"/>
      <c r="BT232" s="240"/>
      <c r="BU232" s="240"/>
      <c r="BV232" s="240"/>
      <c r="BW232" s="240"/>
      <c r="BX232" s="240"/>
      <c r="BY232" s="240"/>
      <c r="BZ232" s="240"/>
      <c r="CA232" s="240"/>
      <c r="CB232" s="240"/>
      <c r="CC232" s="240"/>
      <c r="CD232" s="240"/>
      <c r="CE232" s="240"/>
      <c r="CF232" s="294"/>
      <c r="CG232" s="240" t="s">
        <v>890</v>
      </c>
      <c r="CH232" s="240"/>
      <c r="CI232" s="240"/>
      <c r="CJ232" s="240"/>
      <c r="CK232" s="240"/>
      <c r="CL232" s="240"/>
      <c r="CM232" s="240"/>
      <c r="CN232" s="240"/>
      <c r="CO232" s="240"/>
      <c r="CP232" s="240"/>
      <c r="CQ232" s="240"/>
      <c r="CR232" s="240"/>
      <c r="CS232" s="294" t="s">
        <v>890</v>
      </c>
      <c r="CT232" s="240"/>
      <c r="CU232" s="240"/>
      <c r="CV232" s="240"/>
      <c r="CW232" s="240"/>
      <c r="CX232" s="240" t="s">
        <v>890</v>
      </c>
      <c r="CY232" s="240"/>
      <c r="CZ232" s="240"/>
      <c r="DA232" s="240"/>
      <c r="DB232" s="240"/>
      <c r="DC232" s="240"/>
      <c r="DD232" s="240"/>
      <c r="DE232" s="240"/>
      <c r="DF232" s="294"/>
      <c r="DG232" s="240"/>
      <c r="DH232" s="240"/>
      <c r="DI232" s="240"/>
      <c r="DJ232" s="240"/>
      <c r="DK232" s="240"/>
      <c r="DL232" s="240"/>
      <c r="DM232" s="240"/>
      <c r="DN232" s="240"/>
      <c r="DO232" s="240"/>
      <c r="DP232" s="240"/>
      <c r="DQ232" s="240"/>
      <c r="DR232" s="294"/>
      <c r="DS232" s="240"/>
      <c r="DT232" s="240"/>
      <c r="DU232" s="240"/>
      <c r="DV232" s="294"/>
      <c r="DW232" s="240"/>
      <c r="DX232" s="240"/>
      <c r="DY232" s="240"/>
      <c r="DZ232" s="240" t="s">
        <v>890</v>
      </c>
      <c r="EA232" s="240"/>
      <c r="EB232" s="240"/>
      <c r="EC232" s="240"/>
      <c r="ED232" s="240"/>
      <c r="EE232" s="240"/>
      <c r="EF232" s="294"/>
      <c r="EG232" s="240"/>
      <c r="EH232" s="240"/>
      <c r="EI232" s="240"/>
      <c r="EJ232" s="294"/>
      <c r="EK232" s="240"/>
      <c r="EL232" s="294"/>
      <c r="EM232" s="240"/>
      <c r="EN232" s="240"/>
      <c r="EO232" s="240"/>
      <c r="EP232" s="240"/>
      <c r="EQ232" s="240"/>
      <c r="ER232" s="240"/>
      <c r="ES232" s="240"/>
      <c r="ET232" s="240"/>
      <c r="EU232" s="240"/>
      <c r="EV232" s="240"/>
      <c r="EW232" s="240"/>
      <c r="EX232" s="294"/>
      <c r="EY232" s="240"/>
      <c r="EZ232" s="240"/>
      <c r="FA232" s="240"/>
      <c r="FB232" s="240"/>
      <c r="FC232" s="240"/>
      <c r="FD232" s="240"/>
      <c r="FE232" s="240"/>
      <c r="FF232" s="240"/>
      <c r="FG232" s="240"/>
      <c r="FH232" s="240"/>
      <c r="FI232" s="240"/>
      <c r="FJ232" s="240"/>
      <c r="FK232" s="240"/>
      <c r="FL232" s="240"/>
      <c r="FM232" s="240"/>
      <c r="FN232" s="240"/>
      <c r="FO232" s="294"/>
      <c r="FP232" s="240"/>
      <c r="FQ232" s="240"/>
      <c r="FR232" s="240"/>
      <c r="FS232" s="240"/>
      <c r="FT232" s="240"/>
      <c r="FU232" s="240"/>
      <c r="FV232" s="240"/>
      <c r="FW232" s="240"/>
      <c r="FX232" s="240"/>
      <c r="FY232" s="240"/>
      <c r="FZ232" s="294"/>
      <c r="GA232" s="240"/>
      <c r="GB232" s="240"/>
      <c r="GC232" s="294"/>
      <c r="GD232" s="240"/>
      <c r="GE232" s="240"/>
      <c r="GF232" s="240"/>
      <c r="GG232" s="240"/>
      <c r="GH232" s="294"/>
      <c r="GI232" s="240"/>
      <c r="GJ232" s="240"/>
      <c r="GK232" s="240"/>
      <c r="GL232" s="240"/>
      <c r="GM232" s="294"/>
      <c r="GN232" s="240"/>
      <c r="GO232" s="240"/>
      <c r="GP232" s="240"/>
      <c r="GQ232" s="240"/>
      <c r="GR232" s="240"/>
      <c r="GS232" s="240"/>
      <c r="GT232" s="240"/>
      <c r="GU232" s="240"/>
      <c r="GV232" s="240"/>
      <c r="GW232" s="240"/>
      <c r="GX232" s="240"/>
      <c r="GY232" s="240"/>
      <c r="GZ232" s="240"/>
      <c r="HA232" s="240"/>
      <c r="HB232" s="240"/>
      <c r="HC232" s="240"/>
      <c r="HD232" s="294"/>
      <c r="HE232" s="240"/>
      <c r="HF232" s="240"/>
      <c r="HG232" s="240"/>
      <c r="HH232" s="240"/>
      <c r="HI232" s="240"/>
      <c r="HJ232" s="294"/>
      <c r="HK232" s="240"/>
      <c r="HL232" s="294"/>
      <c r="HM232" s="241"/>
      <c r="HN232" s="235"/>
      <c r="HO232" s="235"/>
    </row>
    <row r="233" spans="2:225" ht="37.5" hidden="1" outlineLevel="2">
      <c r="B233" s="275"/>
      <c r="C233" s="258" t="s">
        <v>116</v>
      </c>
      <c r="D233" s="236" t="s">
        <v>3307</v>
      </c>
      <c r="E233" s="248"/>
      <c r="F233" s="284" t="str">
        <f>IF(E233='3. Dropdowns'!C299,"","Submittals, Products, Execution")</f>
        <v>Submittals, Products, Execution</v>
      </c>
      <c r="G233" s="268"/>
      <c r="H233" s="294"/>
      <c r="I233" s="291" t="s">
        <v>890</v>
      </c>
      <c r="J233" s="292"/>
      <c r="K233" s="292"/>
      <c r="L233" s="292"/>
      <c r="M233" s="292"/>
      <c r="N233" s="292"/>
      <c r="O233" s="292"/>
      <c r="P233" s="292"/>
      <c r="Q233" s="292"/>
      <c r="R233" s="292"/>
      <c r="S233" s="292"/>
      <c r="T233" s="240" t="s">
        <v>890</v>
      </c>
      <c r="U233" s="240"/>
      <c r="V233" s="240"/>
      <c r="W233" s="240"/>
      <c r="X233" s="294"/>
      <c r="Y233" s="240"/>
      <c r="Z233" s="240"/>
      <c r="AA233" s="240"/>
      <c r="AB233" s="240"/>
      <c r="AC233" s="240"/>
      <c r="AD233" s="240"/>
      <c r="AE233" s="240"/>
      <c r="AF233" s="240"/>
      <c r="AG233" s="240"/>
      <c r="AH233" s="294"/>
      <c r="AI233" s="240"/>
      <c r="AJ233" s="240"/>
      <c r="AK233" s="240"/>
      <c r="AL233" s="240"/>
      <c r="AM233" s="294"/>
      <c r="AN233" s="240"/>
      <c r="AO233" s="240"/>
      <c r="AP233" s="240"/>
      <c r="AQ233" s="294"/>
      <c r="AR233" s="240"/>
      <c r="AS233" s="240"/>
      <c r="AT233" s="240"/>
      <c r="AU233" s="240"/>
      <c r="AV233" s="240"/>
      <c r="AW233" s="240"/>
      <c r="AX233" s="240"/>
      <c r="AY233" s="240"/>
      <c r="AZ233" s="294"/>
      <c r="BA233" s="240"/>
      <c r="BB233" s="240"/>
      <c r="BC233" s="240"/>
      <c r="BD233" s="240"/>
      <c r="BE233" s="240"/>
      <c r="BF233" s="240"/>
      <c r="BG233" s="240"/>
      <c r="BH233" s="240"/>
      <c r="BI233" s="240"/>
      <c r="BJ233" s="240"/>
      <c r="BK233" s="240"/>
      <c r="BL233" s="240"/>
      <c r="BM233" s="240"/>
      <c r="BN233" s="240"/>
      <c r="BO233" s="240"/>
      <c r="BP233" s="294"/>
      <c r="BQ233" s="240"/>
      <c r="BR233" s="240"/>
      <c r="BS233" s="240"/>
      <c r="BT233" s="240"/>
      <c r="BU233" s="240"/>
      <c r="BV233" s="240"/>
      <c r="BW233" s="240"/>
      <c r="BX233" s="240"/>
      <c r="BY233" s="240"/>
      <c r="BZ233" s="240"/>
      <c r="CA233" s="240"/>
      <c r="CB233" s="240"/>
      <c r="CC233" s="240"/>
      <c r="CD233" s="240"/>
      <c r="CE233" s="240"/>
      <c r="CF233" s="294"/>
      <c r="CG233" s="240" t="s">
        <v>890</v>
      </c>
      <c r="CH233" s="240"/>
      <c r="CI233" s="240"/>
      <c r="CJ233" s="240"/>
      <c r="CK233" s="240"/>
      <c r="CL233" s="240"/>
      <c r="CM233" s="240"/>
      <c r="CN233" s="240"/>
      <c r="CO233" s="240"/>
      <c r="CP233" s="240"/>
      <c r="CQ233" s="240"/>
      <c r="CR233" s="240"/>
      <c r="CS233" s="294" t="s">
        <v>890</v>
      </c>
      <c r="CT233" s="240"/>
      <c r="CU233" s="240"/>
      <c r="CV233" s="240"/>
      <c r="CW233" s="240"/>
      <c r="CX233" s="240" t="s">
        <v>890</v>
      </c>
      <c r="CY233" s="240"/>
      <c r="CZ233" s="240"/>
      <c r="DA233" s="240"/>
      <c r="DB233" s="240"/>
      <c r="DC233" s="240"/>
      <c r="DD233" s="240"/>
      <c r="DE233" s="240"/>
      <c r="DF233" s="294"/>
      <c r="DG233" s="240"/>
      <c r="DH233" s="240"/>
      <c r="DI233" s="240"/>
      <c r="DJ233" s="240"/>
      <c r="DK233" s="240"/>
      <c r="DL233" s="240"/>
      <c r="DM233" s="240"/>
      <c r="DN233" s="240"/>
      <c r="DO233" s="240"/>
      <c r="DP233" s="240"/>
      <c r="DQ233" s="240"/>
      <c r="DR233" s="294"/>
      <c r="DS233" s="240"/>
      <c r="DT233" s="240"/>
      <c r="DU233" s="240"/>
      <c r="DV233" s="294"/>
      <c r="DW233" s="240"/>
      <c r="DX233" s="240"/>
      <c r="DY233" s="240"/>
      <c r="DZ233" s="240" t="s">
        <v>890</v>
      </c>
      <c r="EA233" s="240"/>
      <c r="EB233" s="240"/>
      <c r="EC233" s="240"/>
      <c r="ED233" s="240"/>
      <c r="EE233" s="240"/>
      <c r="EF233" s="294"/>
      <c r="EG233" s="240"/>
      <c r="EH233" s="240"/>
      <c r="EI233" s="240"/>
      <c r="EJ233" s="294"/>
      <c r="EK233" s="240"/>
      <c r="EL233" s="294"/>
      <c r="EM233" s="240"/>
      <c r="EN233" s="240"/>
      <c r="EO233" s="240"/>
      <c r="EP233" s="240"/>
      <c r="EQ233" s="240"/>
      <c r="ER233" s="240"/>
      <c r="ES233" s="240"/>
      <c r="ET233" s="240"/>
      <c r="EU233" s="240"/>
      <c r="EV233" s="240"/>
      <c r="EW233" s="240"/>
      <c r="EX233" s="294"/>
      <c r="EY233" s="240"/>
      <c r="EZ233" s="240"/>
      <c r="FA233" s="240"/>
      <c r="FB233" s="240"/>
      <c r="FC233" s="240"/>
      <c r="FD233" s="240"/>
      <c r="FE233" s="240"/>
      <c r="FF233" s="240"/>
      <c r="FG233" s="240"/>
      <c r="FH233" s="240"/>
      <c r="FI233" s="240"/>
      <c r="FJ233" s="240"/>
      <c r="FK233" s="240"/>
      <c r="FL233" s="240"/>
      <c r="FM233" s="240"/>
      <c r="FN233" s="240"/>
      <c r="FO233" s="294"/>
      <c r="FP233" s="240"/>
      <c r="FQ233" s="240"/>
      <c r="FR233" s="240"/>
      <c r="FS233" s="240"/>
      <c r="FT233" s="240"/>
      <c r="FU233" s="240"/>
      <c r="FV233" s="240"/>
      <c r="FW233" s="240"/>
      <c r="FX233" s="240"/>
      <c r="FY233" s="240"/>
      <c r="FZ233" s="294"/>
      <c r="GA233" s="240"/>
      <c r="GB233" s="240"/>
      <c r="GC233" s="294"/>
      <c r="GD233" s="240"/>
      <c r="GE233" s="240"/>
      <c r="GF233" s="240"/>
      <c r="GG233" s="240"/>
      <c r="GH233" s="294"/>
      <c r="GI233" s="240"/>
      <c r="GJ233" s="240"/>
      <c r="GK233" s="240"/>
      <c r="GL233" s="240"/>
      <c r="GM233" s="294"/>
      <c r="GN233" s="240"/>
      <c r="GO233" s="240"/>
      <c r="GP233" s="240"/>
      <c r="GQ233" s="240"/>
      <c r="GR233" s="240"/>
      <c r="GS233" s="240"/>
      <c r="GT233" s="240"/>
      <c r="GU233" s="240"/>
      <c r="GV233" s="240"/>
      <c r="GW233" s="240"/>
      <c r="GX233" s="240"/>
      <c r="GY233" s="240"/>
      <c r="GZ233" s="240"/>
      <c r="HA233" s="240"/>
      <c r="HB233" s="240"/>
      <c r="HC233" s="240"/>
      <c r="HD233" s="294"/>
      <c r="HE233" s="240"/>
      <c r="HF233" s="240"/>
      <c r="HG233" s="240"/>
      <c r="HH233" s="240"/>
      <c r="HI233" s="240"/>
      <c r="HJ233" s="294"/>
      <c r="HK233" s="240"/>
      <c r="HL233" s="294"/>
      <c r="HM233" s="241"/>
      <c r="HN233" s="235"/>
      <c r="HO233" s="235"/>
    </row>
    <row r="234" spans="2:225" hidden="1" outlineLevel="1" collapsed="1">
      <c r="B234" s="275"/>
      <c r="C234" s="258" t="s">
        <v>116</v>
      </c>
      <c r="D234" s="236" t="s">
        <v>3308</v>
      </c>
      <c r="E234" s="248"/>
      <c r="F234" s="284" t="str">
        <f>IF(E234="Criterion 6.5 not used.","","Submittals, Execution")</f>
        <v>Submittals, Execution</v>
      </c>
      <c r="G234" s="268"/>
      <c r="H234" s="242"/>
      <c r="I234" s="239"/>
      <c r="J234" s="240"/>
      <c r="K234" s="240"/>
      <c r="L234" s="240"/>
      <c r="M234" s="240"/>
      <c r="N234" s="240"/>
      <c r="O234" s="240"/>
      <c r="P234" s="240"/>
      <c r="Q234" s="240"/>
      <c r="R234" s="240"/>
      <c r="S234" s="240"/>
      <c r="T234" s="240" t="s">
        <v>890</v>
      </c>
      <c r="U234" s="240"/>
      <c r="V234" s="240"/>
      <c r="W234" s="240"/>
      <c r="X234" s="242"/>
      <c r="Y234" s="240"/>
      <c r="Z234" s="240"/>
      <c r="AA234" s="240"/>
      <c r="AB234" s="240"/>
      <c r="AC234" s="240"/>
      <c r="AD234" s="240"/>
      <c r="AE234" s="240"/>
      <c r="AF234" s="240"/>
      <c r="AG234" s="240"/>
      <c r="AH234" s="242"/>
      <c r="AI234" s="240"/>
      <c r="AJ234" s="240"/>
      <c r="AK234" s="240"/>
      <c r="AL234" s="240"/>
      <c r="AM234" s="242"/>
      <c r="AN234" s="240"/>
      <c r="AO234" s="240"/>
      <c r="AP234" s="240"/>
      <c r="AQ234" s="242"/>
      <c r="AR234" s="240"/>
      <c r="AS234" s="240"/>
      <c r="AT234" s="240"/>
      <c r="AU234" s="240"/>
      <c r="AV234" s="240"/>
      <c r="AW234" s="240"/>
      <c r="AX234" s="240"/>
      <c r="AY234" s="240"/>
      <c r="AZ234" s="242"/>
      <c r="BA234" s="240"/>
      <c r="BB234" s="240"/>
      <c r="BC234" s="240"/>
      <c r="BD234" s="240"/>
      <c r="BE234" s="240"/>
      <c r="BF234" s="240"/>
      <c r="BG234" s="240"/>
      <c r="BH234" s="240"/>
      <c r="BI234" s="240"/>
      <c r="BJ234" s="240"/>
      <c r="BK234" s="240"/>
      <c r="BL234" s="240"/>
      <c r="BM234" s="240"/>
      <c r="BN234" s="240"/>
      <c r="BO234" s="240"/>
      <c r="BP234" s="242"/>
      <c r="BQ234" s="240"/>
      <c r="BR234" s="240"/>
      <c r="BS234" s="240"/>
      <c r="BT234" s="240"/>
      <c r="BU234" s="240"/>
      <c r="BV234" s="240"/>
      <c r="BW234" s="240"/>
      <c r="BX234" s="240"/>
      <c r="BY234" s="240"/>
      <c r="BZ234" s="240"/>
      <c r="CA234" s="240"/>
      <c r="CB234" s="240"/>
      <c r="CC234" s="240"/>
      <c r="CD234" s="240"/>
      <c r="CE234" s="240"/>
      <c r="CF234" s="242"/>
      <c r="CG234" s="240"/>
      <c r="CH234" s="240"/>
      <c r="CI234" s="240"/>
      <c r="CJ234" s="240"/>
      <c r="CK234" s="240"/>
      <c r="CL234" s="240"/>
      <c r="CM234" s="240"/>
      <c r="CN234" s="240"/>
      <c r="CO234" s="240"/>
      <c r="CP234" s="240"/>
      <c r="CQ234" s="240"/>
      <c r="CR234" s="240"/>
      <c r="CS234" s="242"/>
      <c r="CT234" s="240"/>
      <c r="CU234" s="240"/>
      <c r="CV234" s="240"/>
      <c r="CW234" s="240"/>
      <c r="CX234" s="240"/>
      <c r="CY234" s="240"/>
      <c r="CZ234" s="240"/>
      <c r="DA234" s="240"/>
      <c r="DB234" s="240"/>
      <c r="DC234" s="240"/>
      <c r="DD234" s="240"/>
      <c r="DE234" s="240"/>
      <c r="DF234" s="242"/>
      <c r="DG234" s="240"/>
      <c r="DH234" s="240"/>
      <c r="DI234" s="240"/>
      <c r="DJ234" s="240"/>
      <c r="DK234" s="240"/>
      <c r="DL234" s="240"/>
      <c r="DM234" s="240"/>
      <c r="DN234" s="240"/>
      <c r="DO234" s="240"/>
      <c r="DP234" s="240"/>
      <c r="DQ234" s="240"/>
      <c r="DR234" s="242"/>
      <c r="DS234" s="240"/>
      <c r="DT234" s="240"/>
      <c r="DU234" s="240"/>
      <c r="DV234" s="242"/>
      <c r="DW234" s="240"/>
      <c r="DX234" s="240"/>
      <c r="DY234" s="240"/>
      <c r="DZ234" s="240"/>
      <c r="EA234" s="240"/>
      <c r="EB234" s="240" t="s">
        <v>890</v>
      </c>
      <c r="EC234" s="240"/>
      <c r="ED234" s="240"/>
      <c r="EE234" s="240"/>
      <c r="EF234" s="242"/>
      <c r="EG234" s="240"/>
      <c r="EH234" s="240"/>
      <c r="EI234" s="240"/>
      <c r="EJ234" s="242"/>
      <c r="EK234" s="240" t="s">
        <v>890</v>
      </c>
      <c r="EL234" s="242"/>
      <c r="EM234" s="240"/>
      <c r="EN234" s="240"/>
      <c r="EO234" s="240"/>
      <c r="EP234" s="240"/>
      <c r="EQ234" s="240"/>
      <c r="ER234" s="240"/>
      <c r="ES234" s="240"/>
      <c r="ET234" s="240"/>
      <c r="EU234" s="240"/>
      <c r="EV234" s="240"/>
      <c r="EW234" s="240"/>
      <c r="EX234" s="242"/>
      <c r="EY234" s="240"/>
      <c r="EZ234" s="240"/>
      <c r="FA234" s="240"/>
      <c r="FB234" s="240"/>
      <c r="FC234" s="240"/>
      <c r="FD234" s="240"/>
      <c r="FE234" s="240"/>
      <c r="FF234" s="240"/>
      <c r="FG234" s="240"/>
      <c r="FH234" s="240"/>
      <c r="FI234" s="240"/>
      <c r="FJ234" s="240"/>
      <c r="FK234" s="240"/>
      <c r="FL234" s="240"/>
      <c r="FM234" s="240"/>
      <c r="FN234" s="240"/>
      <c r="FO234" s="242"/>
      <c r="FP234" s="240"/>
      <c r="FQ234" s="240"/>
      <c r="FR234" s="240"/>
      <c r="FS234" s="240"/>
      <c r="FT234" s="240"/>
      <c r="FU234" s="240"/>
      <c r="FV234" s="240"/>
      <c r="FW234" s="240"/>
      <c r="FX234" s="240"/>
      <c r="FY234" s="240"/>
      <c r="FZ234" s="242"/>
      <c r="GA234" s="240"/>
      <c r="GB234" s="240"/>
      <c r="GC234" s="242"/>
      <c r="GD234" s="240"/>
      <c r="GE234" s="240"/>
      <c r="GF234" s="240"/>
      <c r="GG234" s="240"/>
      <c r="GH234" s="242"/>
      <c r="GI234" s="240"/>
      <c r="GJ234" s="240"/>
      <c r="GK234" s="240"/>
      <c r="GL234" s="240"/>
      <c r="GM234" s="242"/>
      <c r="GN234" s="240"/>
      <c r="GO234" s="240"/>
      <c r="GP234" s="240"/>
      <c r="GQ234" s="240"/>
      <c r="GR234" s="240"/>
      <c r="GS234" s="240"/>
      <c r="GT234" s="240"/>
      <c r="GU234" s="240"/>
      <c r="GV234" s="240"/>
      <c r="GW234" s="240"/>
      <c r="GX234" s="240"/>
      <c r="GY234" s="240"/>
      <c r="GZ234" s="240"/>
      <c r="HA234" s="240"/>
      <c r="HB234" s="240"/>
      <c r="HC234" s="240"/>
      <c r="HD234" s="242"/>
      <c r="HE234" s="240"/>
      <c r="HF234" s="240"/>
      <c r="HG234" s="240"/>
      <c r="HH234" s="240"/>
      <c r="HI234" s="240"/>
      <c r="HJ234" s="242"/>
      <c r="HK234" s="240"/>
      <c r="HL234" s="242"/>
      <c r="HM234" s="241"/>
      <c r="HN234" s="235"/>
      <c r="HO234" s="235"/>
      <c r="HP234" s="235"/>
      <c r="HQ234" s="235"/>
    </row>
    <row r="235" spans="2:225" collapsed="1">
      <c r="B235" s="275"/>
      <c r="C235" s="258" t="s">
        <v>116</v>
      </c>
      <c r="D235" s="220" t="s">
        <v>112</v>
      </c>
      <c r="E235" s="221"/>
      <c r="F235" s="286"/>
      <c r="G235" s="222"/>
      <c r="H235" s="224"/>
      <c r="I235" s="224"/>
      <c r="J235" s="224"/>
      <c r="K235" s="224"/>
      <c r="L235" s="224"/>
      <c r="M235" s="224"/>
      <c r="N235" s="224"/>
      <c r="O235" s="224"/>
      <c r="P235" s="224"/>
      <c r="Q235" s="224"/>
      <c r="R235" s="224"/>
      <c r="S235" s="224"/>
      <c r="T235" s="224"/>
      <c r="U235" s="224"/>
      <c r="V235" s="224"/>
      <c r="W235" s="224"/>
      <c r="X235" s="224"/>
      <c r="Y235" s="224"/>
      <c r="Z235" s="224"/>
      <c r="AA235" s="224"/>
      <c r="AB235" s="224"/>
      <c r="AC235" s="224"/>
      <c r="AD235" s="224"/>
      <c r="AE235" s="224"/>
      <c r="AF235" s="224"/>
      <c r="AG235" s="224"/>
      <c r="AH235" s="224"/>
      <c r="AI235" s="224"/>
      <c r="AJ235" s="224"/>
      <c r="AK235" s="224"/>
      <c r="AL235" s="224"/>
      <c r="AM235" s="224"/>
      <c r="AN235" s="224"/>
      <c r="AO235" s="224"/>
      <c r="AP235" s="224"/>
      <c r="AQ235" s="224"/>
      <c r="AR235" s="224"/>
      <c r="AS235" s="224"/>
      <c r="AT235" s="224"/>
      <c r="AU235" s="224"/>
      <c r="AV235" s="224"/>
      <c r="AW235" s="224"/>
      <c r="AX235" s="224"/>
      <c r="AY235" s="224"/>
      <c r="AZ235" s="224"/>
      <c r="BA235" s="224"/>
      <c r="BB235" s="224"/>
      <c r="BC235" s="224"/>
      <c r="BD235" s="224"/>
      <c r="BE235" s="224"/>
      <c r="BF235" s="224"/>
      <c r="BG235" s="224"/>
      <c r="BH235" s="224"/>
      <c r="BI235" s="224"/>
      <c r="BJ235" s="224"/>
      <c r="BK235" s="224"/>
      <c r="BL235" s="224"/>
      <c r="BM235" s="224"/>
      <c r="BN235" s="224"/>
      <c r="BO235" s="224"/>
      <c r="BP235" s="224"/>
      <c r="BQ235" s="224"/>
      <c r="BR235" s="224"/>
      <c r="BS235" s="224"/>
      <c r="BT235" s="224"/>
      <c r="BU235" s="224"/>
      <c r="BV235" s="224"/>
      <c r="BW235" s="224"/>
      <c r="BX235" s="224"/>
      <c r="BY235" s="224"/>
      <c r="BZ235" s="224"/>
      <c r="CA235" s="224"/>
      <c r="CB235" s="224"/>
      <c r="CC235" s="224"/>
      <c r="CD235" s="224"/>
      <c r="CE235" s="224"/>
      <c r="CF235" s="224"/>
      <c r="CG235" s="224"/>
      <c r="CH235" s="224"/>
      <c r="CI235" s="224"/>
      <c r="CJ235" s="224"/>
      <c r="CK235" s="224"/>
      <c r="CL235" s="224"/>
      <c r="CM235" s="224"/>
      <c r="CN235" s="224"/>
      <c r="CO235" s="224"/>
      <c r="CP235" s="224"/>
      <c r="CQ235" s="224"/>
      <c r="CR235" s="224"/>
      <c r="CS235" s="224"/>
      <c r="CT235" s="224"/>
      <c r="CU235" s="224"/>
      <c r="CV235" s="224"/>
      <c r="CW235" s="224"/>
      <c r="CX235" s="224"/>
      <c r="CY235" s="224"/>
      <c r="CZ235" s="224"/>
      <c r="DA235" s="224"/>
      <c r="DB235" s="224"/>
      <c r="DC235" s="224"/>
      <c r="DD235" s="224"/>
      <c r="DE235" s="224"/>
      <c r="DF235" s="224"/>
      <c r="DG235" s="224"/>
      <c r="DH235" s="224"/>
      <c r="DI235" s="224"/>
      <c r="DJ235" s="224"/>
      <c r="DK235" s="224"/>
      <c r="DL235" s="224"/>
      <c r="DM235" s="224"/>
      <c r="DN235" s="224"/>
      <c r="DO235" s="224"/>
      <c r="DP235" s="224"/>
      <c r="DQ235" s="224"/>
      <c r="DR235" s="224"/>
      <c r="DS235" s="224"/>
      <c r="DT235" s="224"/>
      <c r="DU235" s="224"/>
      <c r="DV235" s="224"/>
      <c r="DW235" s="224"/>
      <c r="DX235" s="224"/>
      <c r="DY235" s="224"/>
      <c r="DZ235" s="224"/>
      <c r="EA235" s="224"/>
      <c r="EB235" s="224"/>
      <c r="EC235" s="224"/>
      <c r="ED235" s="224"/>
      <c r="EE235" s="224"/>
      <c r="EF235" s="224"/>
      <c r="EG235" s="224"/>
      <c r="EH235" s="224"/>
      <c r="EI235" s="224"/>
      <c r="EJ235" s="224"/>
      <c r="EK235" s="224"/>
      <c r="EL235" s="224"/>
      <c r="EM235" s="224"/>
      <c r="EN235" s="224"/>
      <c r="EO235" s="224"/>
      <c r="EP235" s="224"/>
      <c r="EQ235" s="224"/>
      <c r="ER235" s="224"/>
      <c r="ES235" s="224"/>
      <c r="ET235" s="224"/>
      <c r="EU235" s="224"/>
      <c r="EV235" s="224"/>
      <c r="EW235" s="224"/>
      <c r="EX235" s="224"/>
      <c r="EY235" s="224"/>
      <c r="EZ235" s="224"/>
      <c r="FA235" s="224"/>
      <c r="FB235" s="224"/>
      <c r="FC235" s="224"/>
      <c r="FD235" s="224"/>
      <c r="FE235" s="224"/>
      <c r="FF235" s="224"/>
      <c r="FG235" s="224"/>
      <c r="FH235" s="224"/>
      <c r="FI235" s="224"/>
      <c r="FJ235" s="224"/>
      <c r="FK235" s="224"/>
      <c r="FL235" s="224"/>
      <c r="FM235" s="224"/>
      <c r="FN235" s="224"/>
      <c r="FO235" s="224"/>
      <c r="FP235" s="224"/>
      <c r="FQ235" s="224"/>
      <c r="FR235" s="224"/>
      <c r="FS235" s="224"/>
      <c r="FT235" s="224"/>
      <c r="FU235" s="224"/>
      <c r="FV235" s="224"/>
      <c r="FW235" s="224"/>
      <c r="FX235" s="224"/>
      <c r="FY235" s="224"/>
      <c r="FZ235" s="224"/>
      <c r="GA235" s="224"/>
      <c r="GB235" s="224"/>
      <c r="GC235" s="224"/>
      <c r="GD235" s="224"/>
      <c r="GE235" s="224"/>
      <c r="GF235" s="224"/>
      <c r="GG235" s="224"/>
      <c r="GH235" s="224"/>
      <c r="GI235" s="224"/>
      <c r="GJ235" s="224"/>
      <c r="GK235" s="224"/>
      <c r="GL235" s="224"/>
      <c r="GM235" s="224"/>
      <c r="GN235" s="224"/>
      <c r="GO235" s="224"/>
      <c r="GP235" s="224"/>
      <c r="GQ235" s="224"/>
      <c r="GR235" s="224"/>
      <c r="GS235" s="224"/>
      <c r="GT235" s="224"/>
      <c r="GU235" s="224"/>
      <c r="GV235" s="224"/>
      <c r="GW235" s="224"/>
      <c r="GX235" s="224"/>
      <c r="GY235" s="224"/>
      <c r="GZ235" s="224"/>
      <c r="HA235" s="224"/>
      <c r="HB235" s="224"/>
      <c r="HC235" s="224"/>
      <c r="HD235" s="224"/>
      <c r="HE235" s="224"/>
      <c r="HF235" s="224"/>
      <c r="HG235" s="224"/>
      <c r="HH235" s="224"/>
      <c r="HI235" s="224"/>
      <c r="HJ235" s="224"/>
      <c r="HK235" s="224"/>
      <c r="HL235" s="224"/>
      <c r="HM235" s="265"/>
      <c r="HN235" s="235"/>
      <c r="HO235" s="235"/>
      <c r="HP235" s="235"/>
      <c r="HQ235" s="235"/>
    </row>
    <row r="236" spans="2:225" hidden="1" outlineLevel="1">
      <c r="B236" s="303" t="s">
        <v>1173</v>
      </c>
      <c r="C236" s="252" t="str">
        <f>IF(OR(D5='3. Dropdowns'!C8,D5='3. Dropdowns'!C9,F7='3. Dropdowns'!C38,F7='3. Dropdowns'!C39),"Hide","Show")</f>
        <v>Show</v>
      </c>
      <c r="D236" s="236" t="s">
        <v>3309</v>
      </c>
      <c r="E236" s="248"/>
      <c r="F236" s="284" t="s">
        <v>539</v>
      </c>
      <c r="G236" s="268"/>
      <c r="H236" s="231"/>
      <c r="I236" s="239" t="s">
        <v>890</v>
      </c>
      <c r="J236" s="240" t="s">
        <v>890</v>
      </c>
      <c r="K236" s="240"/>
      <c r="L236" s="240" t="s">
        <v>890</v>
      </c>
      <c r="M236" s="240" t="s">
        <v>890</v>
      </c>
      <c r="N236" s="240"/>
      <c r="O236" s="240"/>
      <c r="P236" s="240"/>
      <c r="Q236" s="240"/>
      <c r="R236" s="240"/>
      <c r="S236" s="240"/>
      <c r="T236" s="240" t="s">
        <v>890</v>
      </c>
      <c r="U236" s="240"/>
      <c r="V236" s="240"/>
      <c r="W236" s="240"/>
      <c r="X236" s="231"/>
      <c r="Y236" s="240"/>
      <c r="Z236" s="240"/>
      <c r="AA236" s="240"/>
      <c r="AB236" s="240"/>
      <c r="AC236" s="240"/>
      <c r="AD236" s="240"/>
      <c r="AE236" s="240"/>
      <c r="AF236" s="240"/>
      <c r="AG236" s="240"/>
      <c r="AH236" s="231"/>
      <c r="AI236" s="240"/>
      <c r="AJ236" s="240"/>
      <c r="AK236" s="240"/>
      <c r="AL236" s="240"/>
      <c r="AM236" s="231"/>
      <c r="AN236" s="240"/>
      <c r="AO236" s="240"/>
      <c r="AP236" s="240"/>
      <c r="AQ236" s="231"/>
      <c r="AR236" s="240"/>
      <c r="AS236" s="240"/>
      <c r="AT236" s="240"/>
      <c r="AU236" s="240"/>
      <c r="AV236" s="240"/>
      <c r="AW236" s="240"/>
      <c r="AX236" s="240"/>
      <c r="AY236" s="240"/>
      <c r="AZ236" s="231"/>
      <c r="BA236" s="240"/>
      <c r="BB236" s="240"/>
      <c r="BC236" s="240"/>
      <c r="BD236" s="240"/>
      <c r="BE236" s="240"/>
      <c r="BF236" s="240"/>
      <c r="BG236" s="240"/>
      <c r="BH236" s="240"/>
      <c r="BI236" s="240"/>
      <c r="BJ236" s="240"/>
      <c r="BK236" s="240"/>
      <c r="BL236" s="240"/>
      <c r="BM236" s="240"/>
      <c r="BN236" s="240"/>
      <c r="BO236" s="240"/>
      <c r="BP236" s="231"/>
      <c r="BQ236" s="240"/>
      <c r="BR236" s="240"/>
      <c r="BS236" s="240"/>
      <c r="BT236" s="240"/>
      <c r="BU236" s="240"/>
      <c r="BV236" s="240"/>
      <c r="BW236" s="240"/>
      <c r="BX236" s="240"/>
      <c r="BY236" s="240"/>
      <c r="BZ236" s="240"/>
      <c r="CA236" s="240"/>
      <c r="CB236" s="240"/>
      <c r="CC236" s="240"/>
      <c r="CD236" s="240"/>
      <c r="CE236" s="240"/>
      <c r="CF236" s="231"/>
      <c r="CG236" s="240"/>
      <c r="CH236" s="240"/>
      <c r="CI236" s="240"/>
      <c r="CJ236" s="240"/>
      <c r="CK236" s="240"/>
      <c r="CL236" s="240"/>
      <c r="CM236" s="240"/>
      <c r="CN236" s="240"/>
      <c r="CO236" s="240"/>
      <c r="CP236" s="240"/>
      <c r="CQ236" s="240"/>
      <c r="CR236" s="240"/>
      <c r="CS236" s="231"/>
      <c r="CT236" s="240"/>
      <c r="CU236" s="240"/>
      <c r="CV236" s="240"/>
      <c r="CW236" s="240"/>
      <c r="CX236" s="240"/>
      <c r="CY236" s="240"/>
      <c r="CZ236" s="240"/>
      <c r="DA236" s="240"/>
      <c r="DB236" s="240"/>
      <c r="DC236" s="240"/>
      <c r="DD236" s="240"/>
      <c r="DE236" s="240"/>
      <c r="DF236" s="231"/>
      <c r="DG236" s="240"/>
      <c r="DH236" s="240"/>
      <c r="DI236" s="240"/>
      <c r="DJ236" s="240"/>
      <c r="DK236" s="240"/>
      <c r="DL236" s="240"/>
      <c r="DM236" s="240"/>
      <c r="DN236" s="240"/>
      <c r="DO236" s="240"/>
      <c r="DP236" s="240"/>
      <c r="DQ236" s="240"/>
      <c r="DR236" s="231"/>
      <c r="DS236" s="240"/>
      <c r="DT236" s="240"/>
      <c r="DU236" s="240"/>
      <c r="DV236" s="231"/>
      <c r="DW236" s="240"/>
      <c r="DX236" s="240"/>
      <c r="DY236" s="240"/>
      <c r="DZ236" s="240"/>
      <c r="EA236" s="240"/>
      <c r="EB236" s="240"/>
      <c r="EC236" s="240"/>
      <c r="ED236" s="240"/>
      <c r="EE236" s="240"/>
      <c r="EF236" s="231"/>
      <c r="EG236" s="240"/>
      <c r="EH236" s="240"/>
      <c r="EI236" s="240"/>
      <c r="EJ236" s="231"/>
      <c r="EK236" s="240"/>
      <c r="EL236" s="231"/>
      <c r="EM236" s="240"/>
      <c r="EN236" s="240"/>
      <c r="EO236" s="240"/>
      <c r="EP236" s="240"/>
      <c r="EQ236" s="240"/>
      <c r="ER236" s="240"/>
      <c r="ES236" s="240"/>
      <c r="ET236" s="240"/>
      <c r="EU236" s="240"/>
      <c r="EV236" s="240"/>
      <c r="EW236" s="240"/>
      <c r="EX236" s="231"/>
      <c r="EY236" s="240"/>
      <c r="EZ236" s="240"/>
      <c r="FA236" s="240"/>
      <c r="FB236" s="240"/>
      <c r="FC236" s="240"/>
      <c r="FD236" s="240"/>
      <c r="FE236" s="240"/>
      <c r="FF236" s="240"/>
      <c r="FG236" s="240"/>
      <c r="FH236" s="240"/>
      <c r="FI236" s="240"/>
      <c r="FJ236" s="240"/>
      <c r="FK236" s="240"/>
      <c r="FL236" s="240"/>
      <c r="FM236" s="240"/>
      <c r="FN236" s="240"/>
      <c r="FO236" s="231"/>
      <c r="FP236" s="240"/>
      <c r="FQ236" s="240"/>
      <c r="FR236" s="240"/>
      <c r="FS236" s="240"/>
      <c r="FT236" s="240"/>
      <c r="FU236" s="240"/>
      <c r="FV236" s="240"/>
      <c r="FW236" s="240"/>
      <c r="FX236" s="240"/>
      <c r="FY236" s="240"/>
      <c r="FZ236" s="231"/>
      <c r="GA236" s="240"/>
      <c r="GB236" s="240"/>
      <c r="GC236" s="231"/>
      <c r="GD236" s="240"/>
      <c r="GE236" s="240"/>
      <c r="GF236" s="240"/>
      <c r="GG236" s="240"/>
      <c r="GH236" s="231"/>
      <c r="GI236" s="240"/>
      <c r="GJ236" s="240" t="s">
        <v>890</v>
      </c>
      <c r="GK236" s="240"/>
      <c r="GL236" s="240"/>
      <c r="GM236" s="231"/>
      <c r="GN236" s="240"/>
      <c r="GO236" s="240"/>
      <c r="GP236" s="240"/>
      <c r="GQ236" s="240"/>
      <c r="GR236" s="240"/>
      <c r="GS236" s="240"/>
      <c r="GT236" s="240"/>
      <c r="GU236" s="240"/>
      <c r="GV236" s="240"/>
      <c r="GW236" s="240"/>
      <c r="GX236" s="240"/>
      <c r="GY236" s="240"/>
      <c r="GZ236" s="240"/>
      <c r="HA236" s="240"/>
      <c r="HB236" s="240"/>
      <c r="HC236" s="240"/>
      <c r="HD236" s="231"/>
      <c r="HE236" s="240"/>
      <c r="HF236" s="240"/>
      <c r="HG236" s="240"/>
      <c r="HH236" s="240"/>
      <c r="HI236" s="240"/>
      <c r="HJ236" s="231"/>
      <c r="HK236" s="240"/>
      <c r="HL236" s="231"/>
      <c r="HM236" s="241"/>
      <c r="HN236" s="235"/>
      <c r="HO236" s="235"/>
      <c r="HP236" s="235"/>
      <c r="HQ236" s="235"/>
    </row>
    <row r="237" spans="2:225" hidden="1" outlineLevel="1">
      <c r="B237" s="303" t="s">
        <v>1174</v>
      </c>
      <c r="C237" s="252" t="str">
        <f>IF(OR(D5='3. Dropdowns'!C7,D5='3. Dropdowns'!C9,F7='3. Dropdowns'!C38,F7='3. Dropdowns'!C39),"Hide","Show")</f>
        <v>Show</v>
      </c>
      <c r="D237" s="236" t="s">
        <v>3309</v>
      </c>
      <c r="E237" s="237"/>
      <c r="F237" s="284" t="s">
        <v>539</v>
      </c>
      <c r="G237" s="268"/>
      <c r="H237" s="238"/>
      <c r="I237" s="239" t="s">
        <v>890</v>
      </c>
      <c r="J237" s="240" t="s">
        <v>890</v>
      </c>
      <c r="K237" s="240"/>
      <c r="L237" s="240" t="s">
        <v>890</v>
      </c>
      <c r="M237" s="240" t="s">
        <v>890</v>
      </c>
      <c r="N237" s="240"/>
      <c r="O237" s="240"/>
      <c r="P237" s="240"/>
      <c r="Q237" s="240"/>
      <c r="R237" s="240"/>
      <c r="S237" s="240"/>
      <c r="T237" s="240" t="s">
        <v>890</v>
      </c>
      <c r="U237" s="240"/>
      <c r="V237" s="240"/>
      <c r="W237" s="240"/>
      <c r="X237" s="238"/>
      <c r="Y237" s="240"/>
      <c r="Z237" s="240"/>
      <c r="AA237" s="240"/>
      <c r="AB237" s="240"/>
      <c r="AC237" s="240"/>
      <c r="AD237" s="240"/>
      <c r="AE237" s="240"/>
      <c r="AF237" s="240"/>
      <c r="AG237" s="240"/>
      <c r="AH237" s="238"/>
      <c r="AI237" s="240"/>
      <c r="AJ237" s="240"/>
      <c r="AK237" s="240"/>
      <c r="AL237" s="240"/>
      <c r="AM237" s="238"/>
      <c r="AN237" s="240"/>
      <c r="AO237" s="240"/>
      <c r="AP237" s="240"/>
      <c r="AQ237" s="238"/>
      <c r="AR237" s="240"/>
      <c r="AS237" s="240"/>
      <c r="AT237" s="240"/>
      <c r="AU237" s="240"/>
      <c r="AV237" s="240"/>
      <c r="AW237" s="240"/>
      <c r="AX237" s="240"/>
      <c r="AY237" s="240"/>
      <c r="AZ237" s="238"/>
      <c r="BA237" s="240"/>
      <c r="BB237" s="240"/>
      <c r="BC237" s="240"/>
      <c r="BD237" s="240"/>
      <c r="BE237" s="240"/>
      <c r="BF237" s="240"/>
      <c r="BG237" s="240"/>
      <c r="BH237" s="240"/>
      <c r="BI237" s="240"/>
      <c r="BJ237" s="240"/>
      <c r="BK237" s="240"/>
      <c r="BL237" s="240"/>
      <c r="BM237" s="240"/>
      <c r="BN237" s="240"/>
      <c r="BO237" s="240"/>
      <c r="BP237" s="238"/>
      <c r="BQ237" s="240"/>
      <c r="BR237" s="240"/>
      <c r="BS237" s="240"/>
      <c r="BT237" s="240"/>
      <c r="BU237" s="240"/>
      <c r="BV237" s="240"/>
      <c r="BW237" s="240"/>
      <c r="BX237" s="240"/>
      <c r="BY237" s="240"/>
      <c r="BZ237" s="240"/>
      <c r="CA237" s="240"/>
      <c r="CB237" s="240"/>
      <c r="CC237" s="240"/>
      <c r="CD237" s="240"/>
      <c r="CE237" s="240"/>
      <c r="CF237" s="238"/>
      <c r="CG237" s="240"/>
      <c r="CH237" s="240"/>
      <c r="CI237" s="240"/>
      <c r="CJ237" s="240"/>
      <c r="CK237" s="240"/>
      <c r="CL237" s="240"/>
      <c r="CM237" s="240"/>
      <c r="CN237" s="240"/>
      <c r="CO237" s="240"/>
      <c r="CP237" s="240"/>
      <c r="CQ237" s="240"/>
      <c r="CR237" s="240"/>
      <c r="CS237" s="238"/>
      <c r="CT237" s="240"/>
      <c r="CU237" s="240"/>
      <c r="CV237" s="240"/>
      <c r="CW237" s="240"/>
      <c r="CX237" s="240"/>
      <c r="CY237" s="240"/>
      <c r="CZ237" s="240"/>
      <c r="DA237" s="240"/>
      <c r="DB237" s="240"/>
      <c r="DC237" s="240"/>
      <c r="DD237" s="240"/>
      <c r="DE237" s="240"/>
      <c r="DF237" s="238"/>
      <c r="DG237" s="240"/>
      <c r="DH237" s="240"/>
      <c r="DI237" s="240"/>
      <c r="DJ237" s="240"/>
      <c r="DK237" s="240"/>
      <c r="DL237" s="240"/>
      <c r="DM237" s="240"/>
      <c r="DN237" s="240"/>
      <c r="DO237" s="240"/>
      <c r="DP237" s="240"/>
      <c r="DQ237" s="240"/>
      <c r="DR237" s="238"/>
      <c r="DS237" s="240"/>
      <c r="DT237" s="240"/>
      <c r="DU237" s="240"/>
      <c r="DV237" s="238"/>
      <c r="DW237" s="240"/>
      <c r="DX237" s="240"/>
      <c r="DY237" s="240"/>
      <c r="DZ237" s="240"/>
      <c r="EA237" s="240"/>
      <c r="EB237" s="240"/>
      <c r="EC237" s="240"/>
      <c r="ED237" s="240"/>
      <c r="EE237" s="240"/>
      <c r="EF237" s="238"/>
      <c r="EG237" s="240"/>
      <c r="EH237" s="240"/>
      <c r="EI237" s="240"/>
      <c r="EJ237" s="238"/>
      <c r="EK237" s="240"/>
      <c r="EL237" s="238"/>
      <c r="EM237" s="240"/>
      <c r="EN237" s="240"/>
      <c r="EO237" s="240"/>
      <c r="EP237" s="240"/>
      <c r="EQ237" s="240"/>
      <c r="ER237" s="240"/>
      <c r="ES237" s="240"/>
      <c r="ET237" s="240"/>
      <c r="EU237" s="240"/>
      <c r="EV237" s="240"/>
      <c r="EW237" s="240"/>
      <c r="EX237" s="238"/>
      <c r="EY237" s="240"/>
      <c r="EZ237" s="240"/>
      <c r="FA237" s="240"/>
      <c r="FB237" s="240"/>
      <c r="FC237" s="240"/>
      <c r="FD237" s="240"/>
      <c r="FE237" s="240"/>
      <c r="FF237" s="240"/>
      <c r="FG237" s="240"/>
      <c r="FH237" s="240"/>
      <c r="FI237" s="240"/>
      <c r="FJ237" s="240"/>
      <c r="FK237" s="240"/>
      <c r="FL237" s="240"/>
      <c r="FM237" s="240"/>
      <c r="FN237" s="240"/>
      <c r="FO237" s="238"/>
      <c r="FP237" s="240"/>
      <c r="FQ237" s="240"/>
      <c r="FR237" s="240"/>
      <c r="FS237" s="240"/>
      <c r="FT237" s="240"/>
      <c r="FU237" s="240"/>
      <c r="FV237" s="240"/>
      <c r="FW237" s="240"/>
      <c r="FX237" s="240"/>
      <c r="FY237" s="240"/>
      <c r="FZ237" s="238"/>
      <c r="GA237" s="240"/>
      <c r="GB237" s="240"/>
      <c r="GC237" s="238"/>
      <c r="GD237" s="240"/>
      <c r="GE237" s="240"/>
      <c r="GF237" s="240"/>
      <c r="GG237" s="240"/>
      <c r="GH237" s="238"/>
      <c r="GI237" s="240"/>
      <c r="GJ237" s="240" t="s">
        <v>890</v>
      </c>
      <c r="GK237" s="240"/>
      <c r="GL237" s="240"/>
      <c r="GM237" s="238"/>
      <c r="GN237" s="240"/>
      <c r="GO237" s="240"/>
      <c r="GP237" s="240"/>
      <c r="GQ237" s="240"/>
      <c r="GR237" s="240"/>
      <c r="GS237" s="240"/>
      <c r="GT237" s="240"/>
      <c r="GU237" s="240"/>
      <c r="GV237" s="240"/>
      <c r="GW237" s="240"/>
      <c r="GX237" s="240"/>
      <c r="GY237" s="240"/>
      <c r="GZ237" s="240"/>
      <c r="HA237" s="240"/>
      <c r="HB237" s="240"/>
      <c r="HC237" s="240"/>
      <c r="HD237" s="238"/>
      <c r="HE237" s="240"/>
      <c r="HF237" s="240"/>
      <c r="HG237" s="240"/>
      <c r="HH237" s="240"/>
      <c r="HI237" s="240"/>
      <c r="HJ237" s="238"/>
      <c r="HK237" s="240"/>
      <c r="HL237" s="238"/>
      <c r="HM237" s="241"/>
      <c r="HN237" s="235"/>
      <c r="HO237" s="235"/>
      <c r="HP237" s="235"/>
      <c r="HQ237" s="235"/>
    </row>
    <row r="238" spans="2:225" hidden="1" outlineLevel="1">
      <c r="B238" s="275"/>
      <c r="C238" s="258" t="s">
        <v>116</v>
      </c>
      <c r="D238" s="236" t="s">
        <v>3310</v>
      </c>
      <c r="E238" s="248"/>
      <c r="F238" s="284" t="s">
        <v>540</v>
      </c>
      <c r="G238" s="268"/>
      <c r="H238" s="238"/>
      <c r="I238" s="239" t="s">
        <v>890</v>
      </c>
      <c r="J238" s="240" t="s">
        <v>890</v>
      </c>
      <c r="K238" s="240"/>
      <c r="L238" s="240"/>
      <c r="M238" s="240"/>
      <c r="N238" s="240"/>
      <c r="O238" s="240"/>
      <c r="P238" s="240"/>
      <c r="Q238" s="240"/>
      <c r="R238" s="240"/>
      <c r="S238" s="240"/>
      <c r="T238" s="240" t="s">
        <v>890</v>
      </c>
      <c r="U238" s="240"/>
      <c r="V238" s="240"/>
      <c r="W238" s="240"/>
      <c r="X238" s="238"/>
      <c r="Y238" s="240"/>
      <c r="Z238" s="240"/>
      <c r="AA238" s="240"/>
      <c r="AB238" s="240"/>
      <c r="AC238" s="240"/>
      <c r="AD238" s="240"/>
      <c r="AE238" s="240"/>
      <c r="AF238" s="240"/>
      <c r="AG238" s="240"/>
      <c r="AH238" s="238"/>
      <c r="AI238" s="240"/>
      <c r="AJ238" s="240"/>
      <c r="AK238" s="240"/>
      <c r="AL238" s="240"/>
      <c r="AM238" s="238"/>
      <c r="AN238" s="240"/>
      <c r="AO238" s="240"/>
      <c r="AP238" s="240"/>
      <c r="AQ238" s="238"/>
      <c r="AR238" s="240"/>
      <c r="AS238" s="240"/>
      <c r="AT238" s="240"/>
      <c r="AU238" s="240"/>
      <c r="AV238" s="240"/>
      <c r="AW238" s="240"/>
      <c r="AX238" s="240"/>
      <c r="AY238" s="240"/>
      <c r="AZ238" s="238"/>
      <c r="BA238" s="240"/>
      <c r="BB238" s="240"/>
      <c r="BC238" s="240"/>
      <c r="BD238" s="240"/>
      <c r="BE238" s="240"/>
      <c r="BF238" s="240"/>
      <c r="BG238" s="240"/>
      <c r="BH238" s="240"/>
      <c r="BI238" s="240"/>
      <c r="BJ238" s="240"/>
      <c r="BK238" s="240"/>
      <c r="BL238" s="240"/>
      <c r="BM238" s="240"/>
      <c r="BN238" s="240"/>
      <c r="BO238" s="240"/>
      <c r="BP238" s="238"/>
      <c r="BQ238" s="240"/>
      <c r="BR238" s="240"/>
      <c r="BS238" s="240"/>
      <c r="BT238" s="240"/>
      <c r="BU238" s="240"/>
      <c r="BV238" s="240"/>
      <c r="BW238" s="240"/>
      <c r="BX238" s="240"/>
      <c r="BY238" s="240"/>
      <c r="BZ238" s="240"/>
      <c r="CA238" s="240"/>
      <c r="CB238" s="240"/>
      <c r="CC238" s="240"/>
      <c r="CD238" s="240"/>
      <c r="CE238" s="240"/>
      <c r="CF238" s="238"/>
      <c r="CG238" s="240"/>
      <c r="CH238" s="240"/>
      <c r="CI238" s="240"/>
      <c r="CJ238" s="240"/>
      <c r="CK238" s="240"/>
      <c r="CL238" s="240"/>
      <c r="CM238" s="240"/>
      <c r="CN238" s="240"/>
      <c r="CO238" s="240"/>
      <c r="CP238" s="240"/>
      <c r="CQ238" s="240"/>
      <c r="CR238" s="240"/>
      <c r="CS238" s="238"/>
      <c r="CT238" s="240"/>
      <c r="CU238" s="240"/>
      <c r="CV238" s="240"/>
      <c r="CW238" s="240"/>
      <c r="CX238" s="240"/>
      <c r="CY238" s="240"/>
      <c r="CZ238" s="240"/>
      <c r="DA238" s="240"/>
      <c r="DB238" s="240"/>
      <c r="DC238" s="240"/>
      <c r="DD238" s="240"/>
      <c r="DE238" s="240"/>
      <c r="DF238" s="238"/>
      <c r="DG238" s="240"/>
      <c r="DH238" s="240"/>
      <c r="DI238" s="240"/>
      <c r="DJ238" s="240"/>
      <c r="DK238" s="240"/>
      <c r="DL238" s="240"/>
      <c r="DM238" s="240"/>
      <c r="DN238" s="240"/>
      <c r="DO238" s="240"/>
      <c r="DP238" s="240"/>
      <c r="DQ238" s="240"/>
      <c r="DR238" s="238"/>
      <c r="DS238" s="240"/>
      <c r="DT238" s="240"/>
      <c r="DU238" s="240"/>
      <c r="DV238" s="238"/>
      <c r="DW238" s="240"/>
      <c r="DX238" s="240"/>
      <c r="DY238" s="240"/>
      <c r="DZ238" s="240"/>
      <c r="EA238" s="240"/>
      <c r="EB238" s="240"/>
      <c r="EC238" s="240"/>
      <c r="ED238" s="240"/>
      <c r="EE238" s="240"/>
      <c r="EF238" s="238"/>
      <c r="EG238" s="240"/>
      <c r="EH238" s="240"/>
      <c r="EI238" s="240"/>
      <c r="EJ238" s="238"/>
      <c r="EK238" s="240"/>
      <c r="EL238" s="238"/>
      <c r="EM238" s="240"/>
      <c r="EN238" s="240"/>
      <c r="EO238" s="240"/>
      <c r="EP238" s="240"/>
      <c r="EQ238" s="240"/>
      <c r="ER238" s="240"/>
      <c r="ES238" s="240"/>
      <c r="ET238" s="240"/>
      <c r="EU238" s="240" t="s">
        <v>890</v>
      </c>
      <c r="EV238" s="240"/>
      <c r="EW238" s="240"/>
      <c r="EX238" s="238"/>
      <c r="EY238" s="240"/>
      <c r="EZ238" s="240"/>
      <c r="FA238" s="240"/>
      <c r="FB238" s="240"/>
      <c r="FC238" s="240"/>
      <c r="FD238" s="240"/>
      <c r="FE238" s="240"/>
      <c r="FF238" s="240"/>
      <c r="FG238" s="240"/>
      <c r="FH238" s="240" t="s">
        <v>890</v>
      </c>
      <c r="FI238" s="240" t="s">
        <v>890</v>
      </c>
      <c r="FJ238" s="240" t="s">
        <v>890</v>
      </c>
      <c r="FK238" s="240"/>
      <c r="FL238" s="240"/>
      <c r="FM238" s="240"/>
      <c r="FN238" s="240"/>
      <c r="FO238" s="238"/>
      <c r="FP238" s="240"/>
      <c r="FQ238" s="240"/>
      <c r="FR238" s="240"/>
      <c r="FS238" s="240"/>
      <c r="FT238" s="240"/>
      <c r="FU238" s="240"/>
      <c r="FV238" s="240"/>
      <c r="FW238" s="240"/>
      <c r="FX238" s="240"/>
      <c r="FY238" s="240"/>
      <c r="FZ238" s="238"/>
      <c r="GA238" s="240"/>
      <c r="GB238" s="240"/>
      <c r="GC238" s="238"/>
      <c r="GD238" s="240"/>
      <c r="GE238" s="240"/>
      <c r="GF238" s="240" t="s">
        <v>890</v>
      </c>
      <c r="GG238" s="240"/>
      <c r="GH238" s="238"/>
      <c r="GI238" s="240"/>
      <c r="GJ238" s="240"/>
      <c r="GK238" s="240"/>
      <c r="GL238" s="240"/>
      <c r="GM238" s="238"/>
      <c r="GN238" s="240"/>
      <c r="GO238" s="240"/>
      <c r="GP238" s="240"/>
      <c r="GQ238" s="240"/>
      <c r="GR238" s="240"/>
      <c r="GS238" s="240"/>
      <c r="GT238" s="240"/>
      <c r="GU238" s="240"/>
      <c r="GV238" s="240"/>
      <c r="GW238" s="240"/>
      <c r="GX238" s="240"/>
      <c r="GY238" s="240"/>
      <c r="GZ238" s="240"/>
      <c r="HA238" s="240"/>
      <c r="HB238" s="240"/>
      <c r="HC238" s="240"/>
      <c r="HD238" s="238"/>
      <c r="HE238" s="240"/>
      <c r="HF238" s="240"/>
      <c r="HG238" s="240"/>
      <c r="HH238" s="240"/>
      <c r="HI238" s="240"/>
      <c r="HJ238" s="238"/>
      <c r="HK238" s="240"/>
      <c r="HL238" s="238"/>
      <c r="HM238" s="241"/>
      <c r="HN238" s="235"/>
      <c r="HO238" s="235"/>
      <c r="HP238" s="235"/>
      <c r="HQ238" s="235"/>
    </row>
    <row r="239" spans="2:225" hidden="1" outlineLevel="1">
      <c r="B239" s="303" t="s">
        <v>1190</v>
      </c>
      <c r="C239" s="252" t="str">
        <f>IF(OR(E238='3. Dropdowns'!C307,E238='3. Dropdowns'!C308),"Hide",IF(D5='3. Dropdowns'!C7,"Hide","Show"))</f>
        <v>Show</v>
      </c>
      <c r="D239" s="236" t="s">
        <v>3311</v>
      </c>
      <c r="E239" s="248"/>
      <c r="F239" s="284" t="s">
        <v>539</v>
      </c>
      <c r="G239" s="268"/>
      <c r="H239" s="238"/>
      <c r="I239" s="239" t="s">
        <v>890</v>
      </c>
      <c r="J239" s="240" t="s">
        <v>890</v>
      </c>
      <c r="K239" s="240"/>
      <c r="L239" s="240"/>
      <c r="M239" s="240"/>
      <c r="N239" s="240"/>
      <c r="O239" s="240"/>
      <c r="P239" s="240"/>
      <c r="Q239" s="240"/>
      <c r="R239" s="240"/>
      <c r="S239" s="240"/>
      <c r="T239" s="240" t="s">
        <v>890</v>
      </c>
      <c r="U239" s="240"/>
      <c r="V239" s="240"/>
      <c r="W239" s="240"/>
      <c r="X239" s="238"/>
      <c r="Y239" s="240"/>
      <c r="Z239" s="240"/>
      <c r="AA239" s="240"/>
      <c r="AB239" s="240"/>
      <c r="AC239" s="240"/>
      <c r="AD239" s="240"/>
      <c r="AE239" s="240"/>
      <c r="AF239" s="240"/>
      <c r="AG239" s="240"/>
      <c r="AH239" s="238"/>
      <c r="AI239" s="240"/>
      <c r="AJ239" s="240"/>
      <c r="AK239" s="240"/>
      <c r="AL239" s="240"/>
      <c r="AM239" s="238"/>
      <c r="AN239" s="240"/>
      <c r="AO239" s="240"/>
      <c r="AP239" s="240"/>
      <c r="AQ239" s="238"/>
      <c r="AR239" s="240"/>
      <c r="AS239" s="240"/>
      <c r="AT239" s="240"/>
      <c r="AU239" s="240"/>
      <c r="AV239" s="240"/>
      <c r="AW239" s="240"/>
      <c r="AX239" s="240"/>
      <c r="AY239" s="240"/>
      <c r="AZ239" s="238"/>
      <c r="BA239" s="240"/>
      <c r="BB239" s="240"/>
      <c r="BC239" s="240"/>
      <c r="BD239" s="240"/>
      <c r="BE239" s="240"/>
      <c r="BF239" s="240"/>
      <c r="BG239" s="240"/>
      <c r="BH239" s="240"/>
      <c r="BI239" s="240"/>
      <c r="BJ239" s="240"/>
      <c r="BK239" s="240"/>
      <c r="BL239" s="240"/>
      <c r="BM239" s="240"/>
      <c r="BN239" s="240"/>
      <c r="BO239" s="240"/>
      <c r="BP239" s="238"/>
      <c r="BQ239" s="240"/>
      <c r="BR239" s="240"/>
      <c r="BS239" s="240"/>
      <c r="BT239" s="240"/>
      <c r="BU239" s="240"/>
      <c r="BV239" s="240"/>
      <c r="BW239" s="240"/>
      <c r="BX239" s="240"/>
      <c r="BY239" s="240"/>
      <c r="BZ239" s="240"/>
      <c r="CA239" s="240"/>
      <c r="CB239" s="240"/>
      <c r="CC239" s="240"/>
      <c r="CD239" s="240"/>
      <c r="CE239" s="240"/>
      <c r="CF239" s="238"/>
      <c r="CG239" s="240"/>
      <c r="CH239" s="240"/>
      <c r="CI239" s="240"/>
      <c r="CJ239" s="240"/>
      <c r="CK239" s="240"/>
      <c r="CL239" s="240"/>
      <c r="CM239" s="240"/>
      <c r="CN239" s="240"/>
      <c r="CO239" s="240"/>
      <c r="CP239" s="240"/>
      <c r="CQ239" s="240"/>
      <c r="CR239" s="240"/>
      <c r="CS239" s="238"/>
      <c r="CT239" s="240"/>
      <c r="CU239" s="240"/>
      <c r="CV239" s="240"/>
      <c r="CW239" s="240"/>
      <c r="CX239" s="240"/>
      <c r="CY239" s="240"/>
      <c r="CZ239" s="240"/>
      <c r="DA239" s="240"/>
      <c r="DB239" s="240"/>
      <c r="DC239" s="240"/>
      <c r="DD239" s="240"/>
      <c r="DE239" s="240"/>
      <c r="DF239" s="238"/>
      <c r="DG239" s="240"/>
      <c r="DH239" s="240"/>
      <c r="DI239" s="240"/>
      <c r="DJ239" s="240"/>
      <c r="DK239" s="240"/>
      <c r="DL239" s="240"/>
      <c r="DM239" s="240"/>
      <c r="DN239" s="240"/>
      <c r="DO239" s="240"/>
      <c r="DP239" s="240"/>
      <c r="DQ239" s="240"/>
      <c r="DR239" s="238"/>
      <c r="DS239" s="240"/>
      <c r="DT239" s="240"/>
      <c r="DU239" s="240"/>
      <c r="DV239" s="238"/>
      <c r="DW239" s="240"/>
      <c r="DX239" s="240"/>
      <c r="DY239" s="240"/>
      <c r="DZ239" s="240"/>
      <c r="EA239" s="240"/>
      <c r="EB239" s="240"/>
      <c r="EC239" s="240"/>
      <c r="ED239" s="240"/>
      <c r="EE239" s="240"/>
      <c r="EF239" s="238"/>
      <c r="EG239" s="240"/>
      <c r="EH239" s="240"/>
      <c r="EI239" s="240"/>
      <c r="EJ239" s="238"/>
      <c r="EK239" s="240"/>
      <c r="EL239" s="238"/>
      <c r="EM239" s="240"/>
      <c r="EN239" s="240"/>
      <c r="EO239" s="240"/>
      <c r="EP239" s="240"/>
      <c r="EQ239" s="240"/>
      <c r="ER239" s="240"/>
      <c r="ES239" s="240"/>
      <c r="ET239" s="240"/>
      <c r="EU239" s="240" t="s">
        <v>890</v>
      </c>
      <c r="EV239" s="240"/>
      <c r="EW239" s="240"/>
      <c r="EX239" s="238"/>
      <c r="EY239" s="240"/>
      <c r="EZ239" s="240"/>
      <c r="FA239" s="240"/>
      <c r="FB239" s="240"/>
      <c r="FC239" s="240"/>
      <c r="FD239" s="240"/>
      <c r="FE239" s="240"/>
      <c r="FF239" s="240"/>
      <c r="FG239" s="240"/>
      <c r="FH239" s="240" t="s">
        <v>890</v>
      </c>
      <c r="FI239" s="240" t="s">
        <v>890</v>
      </c>
      <c r="FJ239" s="240" t="s">
        <v>890</v>
      </c>
      <c r="FK239" s="240"/>
      <c r="FL239" s="240"/>
      <c r="FM239" s="240"/>
      <c r="FN239" s="240"/>
      <c r="FO239" s="238"/>
      <c r="FP239" s="240"/>
      <c r="FQ239" s="240"/>
      <c r="FR239" s="240"/>
      <c r="FS239" s="240"/>
      <c r="FT239" s="240"/>
      <c r="FU239" s="240"/>
      <c r="FV239" s="240"/>
      <c r="FW239" s="240"/>
      <c r="FX239" s="240"/>
      <c r="FY239" s="240"/>
      <c r="FZ239" s="238"/>
      <c r="GA239" s="240"/>
      <c r="GB239" s="240"/>
      <c r="GC239" s="238"/>
      <c r="GD239" s="240"/>
      <c r="GE239" s="240"/>
      <c r="GF239" s="240" t="s">
        <v>890</v>
      </c>
      <c r="GG239" s="240"/>
      <c r="GH239" s="238"/>
      <c r="GI239" s="240"/>
      <c r="GJ239" s="240"/>
      <c r="GK239" s="240"/>
      <c r="GL239" s="240"/>
      <c r="GM239" s="238"/>
      <c r="GN239" s="240"/>
      <c r="GO239" s="240"/>
      <c r="GP239" s="240"/>
      <c r="GQ239" s="240"/>
      <c r="GR239" s="240"/>
      <c r="GS239" s="240"/>
      <c r="GT239" s="240"/>
      <c r="GU239" s="240"/>
      <c r="GV239" s="240"/>
      <c r="GW239" s="240"/>
      <c r="GX239" s="240"/>
      <c r="GY239" s="240"/>
      <c r="GZ239" s="240"/>
      <c r="HA239" s="240"/>
      <c r="HB239" s="240"/>
      <c r="HC239" s="240"/>
      <c r="HD239" s="238"/>
      <c r="HE239" s="240"/>
      <c r="HF239" s="240"/>
      <c r="HG239" s="240"/>
      <c r="HH239" s="240"/>
      <c r="HI239" s="240"/>
      <c r="HJ239" s="238"/>
      <c r="HK239" s="240"/>
      <c r="HL239" s="238"/>
      <c r="HM239" s="241"/>
      <c r="HN239" s="235"/>
      <c r="HO239" s="235"/>
      <c r="HP239" s="235"/>
      <c r="HQ239" s="235"/>
    </row>
    <row r="240" spans="2:225" ht="37.5" hidden="1" outlineLevel="1">
      <c r="B240" s="275"/>
      <c r="C240" s="258" t="s">
        <v>116</v>
      </c>
      <c r="D240" s="236" t="s">
        <v>3312</v>
      </c>
      <c r="E240" s="248"/>
      <c r="F240" s="284" t="s">
        <v>540</v>
      </c>
      <c r="G240" s="268"/>
      <c r="H240" s="238"/>
      <c r="I240" s="239" t="s">
        <v>890</v>
      </c>
      <c r="J240" s="240" t="s">
        <v>890</v>
      </c>
      <c r="K240" s="240"/>
      <c r="L240" s="240"/>
      <c r="M240" s="240"/>
      <c r="N240" s="240"/>
      <c r="O240" s="240"/>
      <c r="P240" s="240"/>
      <c r="Q240" s="240"/>
      <c r="R240" s="240"/>
      <c r="S240" s="240"/>
      <c r="T240" s="240" t="s">
        <v>890</v>
      </c>
      <c r="U240" s="240"/>
      <c r="V240" s="240"/>
      <c r="W240" s="240"/>
      <c r="X240" s="238"/>
      <c r="Y240" s="240"/>
      <c r="Z240" s="240"/>
      <c r="AA240" s="240"/>
      <c r="AB240" s="240"/>
      <c r="AC240" s="240"/>
      <c r="AD240" s="240"/>
      <c r="AE240" s="240"/>
      <c r="AF240" s="240"/>
      <c r="AG240" s="240"/>
      <c r="AH240" s="238"/>
      <c r="AI240" s="240"/>
      <c r="AJ240" s="240"/>
      <c r="AK240" s="240"/>
      <c r="AL240" s="240"/>
      <c r="AM240" s="238"/>
      <c r="AN240" s="240"/>
      <c r="AO240" s="240"/>
      <c r="AP240" s="240"/>
      <c r="AQ240" s="238"/>
      <c r="AR240" s="240"/>
      <c r="AS240" s="240"/>
      <c r="AT240" s="240"/>
      <c r="AU240" s="240"/>
      <c r="AV240" s="240"/>
      <c r="AW240" s="240"/>
      <c r="AX240" s="240"/>
      <c r="AY240" s="240"/>
      <c r="AZ240" s="238"/>
      <c r="BA240" s="240"/>
      <c r="BB240" s="240"/>
      <c r="BC240" s="240"/>
      <c r="BD240" s="240"/>
      <c r="BE240" s="240"/>
      <c r="BF240" s="240"/>
      <c r="BG240" s="240"/>
      <c r="BH240" s="240"/>
      <c r="BI240" s="240"/>
      <c r="BJ240" s="240"/>
      <c r="BK240" s="240"/>
      <c r="BL240" s="240"/>
      <c r="BM240" s="240"/>
      <c r="BN240" s="240"/>
      <c r="BO240" s="240"/>
      <c r="BP240" s="238"/>
      <c r="BQ240" s="240"/>
      <c r="BR240" s="240"/>
      <c r="BS240" s="240"/>
      <c r="BT240" s="240"/>
      <c r="BU240" s="240"/>
      <c r="BV240" s="240" t="s">
        <v>890</v>
      </c>
      <c r="BW240" s="240"/>
      <c r="BX240" s="240"/>
      <c r="BY240" s="240"/>
      <c r="BZ240" s="240"/>
      <c r="CA240" s="240"/>
      <c r="CB240" s="240"/>
      <c r="CC240" s="240"/>
      <c r="CD240" s="240"/>
      <c r="CE240" s="240"/>
      <c r="CF240" s="238"/>
      <c r="CG240" s="240"/>
      <c r="CH240" s="240"/>
      <c r="CI240" s="240"/>
      <c r="CJ240" s="240"/>
      <c r="CK240" s="240"/>
      <c r="CL240" s="240"/>
      <c r="CM240" s="240"/>
      <c r="CN240" s="240"/>
      <c r="CO240" s="240" t="s">
        <v>890</v>
      </c>
      <c r="CP240" s="240"/>
      <c r="CQ240" s="240"/>
      <c r="CR240" s="240"/>
      <c r="CS240" s="238"/>
      <c r="CT240" s="240"/>
      <c r="CU240" s="240"/>
      <c r="CV240" s="240"/>
      <c r="CW240" s="240"/>
      <c r="CX240" s="240"/>
      <c r="CY240" s="240"/>
      <c r="CZ240" s="240"/>
      <c r="DA240" s="240"/>
      <c r="DB240" s="240"/>
      <c r="DC240" s="240"/>
      <c r="DD240" s="240"/>
      <c r="DE240" s="240"/>
      <c r="DF240" s="238"/>
      <c r="DG240" s="240"/>
      <c r="DH240" s="240"/>
      <c r="DI240" s="240"/>
      <c r="DJ240" s="240"/>
      <c r="DK240" s="240"/>
      <c r="DL240" s="240"/>
      <c r="DM240" s="240"/>
      <c r="DN240" s="240"/>
      <c r="DO240" s="240"/>
      <c r="DP240" s="240"/>
      <c r="DQ240" s="240"/>
      <c r="DR240" s="238"/>
      <c r="DS240" s="240"/>
      <c r="DT240" s="240"/>
      <c r="DU240" s="240"/>
      <c r="DV240" s="238"/>
      <c r="DW240" s="240"/>
      <c r="DX240" s="240"/>
      <c r="DY240" s="240"/>
      <c r="DZ240" s="240"/>
      <c r="EA240" s="240"/>
      <c r="EB240" s="240"/>
      <c r="EC240" s="240"/>
      <c r="ED240" s="240"/>
      <c r="EE240" s="240"/>
      <c r="EF240" s="238"/>
      <c r="EG240" s="240"/>
      <c r="EH240" s="240"/>
      <c r="EI240" s="240"/>
      <c r="EJ240" s="238"/>
      <c r="EK240" s="240"/>
      <c r="EL240" s="238"/>
      <c r="EM240" s="240"/>
      <c r="EN240" s="240"/>
      <c r="EO240" s="240"/>
      <c r="EP240" s="240"/>
      <c r="EQ240" s="240"/>
      <c r="ER240" s="240"/>
      <c r="ES240" s="240"/>
      <c r="ET240" s="240"/>
      <c r="EU240" s="240"/>
      <c r="EV240" s="240"/>
      <c r="EW240" s="240"/>
      <c r="EX240" s="238"/>
      <c r="EY240" s="240"/>
      <c r="EZ240" s="240"/>
      <c r="FA240" s="240"/>
      <c r="FB240" s="240"/>
      <c r="FC240" s="240"/>
      <c r="FD240" s="240" t="s">
        <v>890</v>
      </c>
      <c r="FE240" s="240"/>
      <c r="FF240" s="240"/>
      <c r="FG240" s="240"/>
      <c r="FH240" s="240"/>
      <c r="FI240" s="240"/>
      <c r="FJ240" s="240"/>
      <c r="FK240" s="240"/>
      <c r="FL240" s="240"/>
      <c r="FM240" s="240"/>
      <c r="FN240" s="240"/>
      <c r="FO240" s="238"/>
      <c r="FP240" s="240"/>
      <c r="FQ240" s="240"/>
      <c r="FR240" s="240"/>
      <c r="FS240" s="240"/>
      <c r="FT240" s="240"/>
      <c r="FU240" s="240"/>
      <c r="FV240" s="240"/>
      <c r="FW240" s="240"/>
      <c r="FX240" s="240"/>
      <c r="FY240" s="240"/>
      <c r="FZ240" s="238"/>
      <c r="GA240" s="240"/>
      <c r="GB240" s="240"/>
      <c r="GC240" s="238"/>
      <c r="GD240" s="240"/>
      <c r="GE240" s="240"/>
      <c r="GF240" s="240"/>
      <c r="GG240" s="240"/>
      <c r="GH240" s="238"/>
      <c r="GI240" s="240"/>
      <c r="GJ240" s="240"/>
      <c r="GK240" s="240"/>
      <c r="GL240" s="240"/>
      <c r="GM240" s="238"/>
      <c r="GN240" s="240"/>
      <c r="GO240" s="240"/>
      <c r="GP240" s="240"/>
      <c r="GQ240" s="240"/>
      <c r="GR240" s="240"/>
      <c r="GS240" s="240"/>
      <c r="GT240" s="240"/>
      <c r="GU240" s="240"/>
      <c r="GV240" s="240"/>
      <c r="GW240" s="240"/>
      <c r="GX240" s="240"/>
      <c r="GY240" s="240"/>
      <c r="GZ240" s="240"/>
      <c r="HA240" s="240"/>
      <c r="HB240" s="240"/>
      <c r="HC240" s="240"/>
      <c r="HD240" s="238"/>
      <c r="HE240" s="240"/>
      <c r="HF240" s="240"/>
      <c r="HG240" s="240"/>
      <c r="HH240" s="240"/>
      <c r="HI240" s="240"/>
      <c r="HJ240" s="238"/>
      <c r="HK240" s="240"/>
      <c r="HL240" s="238"/>
      <c r="HM240" s="241"/>
      <c r="HN240" s="235"/>
      <c r="HO240" s="235"/>
      <c r="HP240" s="235"/>
      <c r="HQ240" s="235"/>
    </row>
    <row r="241" spans="2:225" hidden="1" outlineLevel="1">
      <c r="B241" s="275"/>
      <c r="C241" s="258" t="s">
        <v>116</v>
      </c>
      <c r="D241" s="236" t="s">
        <v>3313</v>
      </c>
      <c r="E241" s="237"/>
      <c r="F241" s="237"/>
      <c r="G241" s="230"/>
      <c r="H241" s="238"/>
      <c r="I241" s="239"/>
      <c r="J241" s="240"/>
      <c r="K241" s="240"/>
      <c r="L241" s="240"/>
      <c r="M241" s="240"/>
      <c r="N241" s="240"/>
      <c r="O241" s="240"/>
      <c r="P241" s="240"/>
      <c r="Q241" s="240"/>
      <c r="R241" s="240"/>
      <c r="S241" s="240"/>
      <c r="T241" s="240" t="s">
        <v>890</v>
      </c>
      <c r="U241" s="240"/>
      <c r="V241" s="240"/>
      <c r="W241" s="240"/>
      <c r="X241" s="238"/>
      <c r="Y241" s="240"/>
      <c r="Z241" s="240"/>
      <c r="AA241" s="240"/>
      <c r="AB241" s="240"/>
      <c r="AC241" s="240"/>
      <c r="AD241" s="240"/>
      <c r="AE241" s="240"/>
      <c r="AF241" s="240"/>
      <c r="AG241" s="240"/>
      <c r="AH241" s="238"/>
      <c r="AI241" s="240"/>
      <c r="AJ241" s="240"/>
      <c r="AK241" s="240"/>
      <c r="AL241" s="240"/>
      <c r="AM241" s="238"/>
      <c r="AN241" s="240"/>
      <c r="AO241" s="240"/>
      <c r="AP241" s="240"/>
      <c r="AQ241" s="238"/>
      <c r="AR241" s="240"/>
      <c r="AS241" s="240"/>
      <c r="AT241" s="240"/>
      <c r="AU241" s="240"/>
      <c r="AV241" s="240"/>
      <c r="AW241" s="240"/>
      <c r="AX241" s="240"/>
      <c r="AY241" s="240"/>
      <c r="AZ241" s="238"/>
      <c r="BA241" s="240"/>
      <c r="BB241" s="240"/>
      <c r="BC241" s="240"/>
      <c r="BD241" s="240"/>
      <c r="BE241" s="240"/>
      <c r="BF241" s="240"/>
      <c r="BG241" s="240"/>
      <c r="BH241" s="240"/>
      <c r="BI241" s="240"/>
      <c r="BJ241" s="240"/>
      <c r="BK241" s="240"/>
      <c r="BL241" s="240"/>
      <c r="BM241" s="240"/>
      <c r="BN241" s="240"/>
      <c r="BO241" s="240"/>
      <c r="BP241" s="238"/>
      <c r="BQ241" s="240"/>
      <c r="BR241" s="240"/>
      <c r="BS241" s="240"/>
      <c r="BT241" s="240"/>
      <c r="BU241" s="240"/>
      <c r="BV241" s="240"/>
      <c r="BW241" s="240"/>
      <c r="BX241" s="240"/>
      <c r="BY241" s="240"/>
      <c r="BZ241" s="240"/>
      <c r="CA241" s="240"/>
      <c r="CB241" s="240"/>
      <c r="CC241" s="240"/>
      <c r="CD241" s="240"/>
      <c r="CE241" s="240"/>
      <c r="CF241" s="238"/>
      <c r="CG241" s="240"/>
      <c r="CH241" s="240"/>
      <c r="CI241" s="240"/>
      <c r="CJ241" s="240"/>
      <c r="CK241" s="240"/>
      <c r="CL241" s="240"/>
      <c r="CM241" s="240"/>
      <c r="CN241" s="240"/>
      <c r="CO241" s="240"/>
      <c r="CP241" s="240"/>
      <c r="CQ241" s="240"/>
      <c r="CR241" s="240"/>
      <c r="CS241" s="238"/>
      <c r="CT241" s="240"/>
      <c r="CU241" s="240"/>
      <c r="CV241" s="240"/>
      <c r="CW241" s="240"/>
      <c r="CX241" s="240"/>
      <c r="CY241" s="240"/>
      <c r="CZ241" s="240"/>
      <c r="DA241" s="240"/>
      <c r="DB241" s="240"/>
      <c r="DC241" s="240"/>
      <c r="DD241" s="240"/>
      <c r="DE241" s="240"/>
      <c r="DF241" s="238"/>
      <c r="DG241" s="240"/>
      <c r="DH241" s="240"/>
      <c r="DI241" s="240"/>
      <c r="DJ241" s="240"/>
      <c r="DK241" s="240"/>
      <c r="DL241" s="240"/>
      <c r="DM241" s="240"/>
      <c r="DN241" s="240"/>
      <c r="DO241" s="240"/>
      <c r="DP241" s="240"/>
      <c r="DQ241" s="240"/>
      <c r="DR241" s="238"/>
      <c r="DS241" s="240"/>
      <c r="DT241" s="240"/>
      <c r="DU241" s="240"/>
      <c r="DV241" s="238"/>
      <c r="DW241" s="240"/>
      <c r="DX241" s="240"/>
      <c r="DY241" s="240"/>
      <c r="DZ241" s="240"/>
      <c r="EA241" s="240"/>
      <c r="EB241" s="240"/>
      <c r="EC241" s="240"/>
      <c r="ED241" s="240"/>
      <c r="EE241" s="240"/>
      <c r="EF241" s="238"/>
      <c r="EG241" s="240"/>
      <c r="EH241" s="240"/>
      <c r="EI241" s="240"/>
      <c r="EJ241" s="238"/>
      <c r="EK241" s="240"/>
      <c r="EL241" s="238"/>
      <c r="EM241" s="240"/>
      <c r="EN241" s="240"/>
      <c r="EO241" s="240"/>
      <c r="EP241" s="240"/>
      <c r="EQ241" s="240"/>
      <c r="ER241" s="240"/>
      <c r="ES241" s="240"/>
      <c r="ET241" s="240"/>
      <c r="EU241" s="240"/>
      <c r="EV241" s="240"/>
      <c r="EW241" s="240"/>
      <c r="EX241" s="238"/>
      <c r="EY241" s="240"/>
      <c r="EZ241" s="240"/>
      <c r="FA241" s="240"/>
      <c r="FB241" s="240"/>
      <c r="FC241" s="240"/>
      <c r="FD241" s="240"/>
      <c r="FE241" s="240"/>
      <c r="FF241" s="240"/>
      <c r="FG241" s="240"/>
      <c r="FH241" s="240"/>
      <c r="FI241" s="240"/>
      <c r="FJ241" s="240"/>
      <c r="FK241" s="240"/>
      <c r="FL241" s="240"/>
      <c r="FM241" s="240"/>
      <c r="FN241" s="240"/>
      <c r="FO241" s="238"/>
      <c r="FP241" s="240"/>
      <c r="FQ241" s="240"/>
      <c r="FR241" s="240"/>
      <c r="FS241" s="240"/>
      <c r="FT241" s="240"/>
      <c r="FU241" s="240"/>
      <c r="FV241" s="240"/>
      <c r="FW241" s="240"/>
      <c r="FX241" s="240"/>
      <c r="FY241" s="240"/>
      <c r="FZ241" s="238"/>
      <c r="GA241" s="240"/>
      <c r="GB241" s="240"/>
      <c r="GC241" s="238"/>
      <c r="GD241" s="240"/>
      <c r="GE241" s="240"/>
      <c r="GF241" s="240"/>
      <c r="GG241" s="240"/>
      <c r="GH241" s="238"/>
      <c r="GI241" s="240"/>
      <c r="GJ241" s="240"/>
      <c r="GK241" s="240"/>
      <c r="GL241" s="240"/>
      <c r="GM241" s="238"/>
      <c r="GN241" s="240"/>
      <c r="GO241" s="240"/>
      <c r="GP241" s="240"/>
      <c r="GQ241" s="240"/>
      <c r="GR241" s="240"/>
      <c r="GS241" s="240"/>
      <c r="GT241" s="240"/>
      <c r="GU241" s="240"/>
      <c r="GV241" s="240"/>
      <c r="GW241" s="240"/>
      <c r="GX241" s="240"/>
      <c r="GY241" s="240"/>
      <c r="GZ241" s="240"/>
      <c r="HA241" s="240"/>
      <c r="HB241" s="240"/>
      <c r="HC241" s="240"/>
      <c r="HD241" s="238"/>
      <c r="HE241" s="240"/>
      <c r="HF241" s="240"/>
      <c r="HG241" s="240"/>
      <c r="HH241" s="240"/>
      <c r="HI241" s="240"/>
      <c r="HJ241" s="238"/>
      <c r="HK241" s="240"/>
      <c r="HL241" s="238"/>
      <c r="HM241" s="241"/>
      <c r="HN241" s="235"/>
      <c r="HO241" s="235"/>
      <c r="HP241" s="235"/>
      <c r="HQ241" s="235"/>
    </row>
    <row r="242" spans="2:225" hidden="1" outlineLevel="1">
      <c r="B242" s="303" t="s">
        <v>1246</v>
      </c>
      <c r="C242" s="252" t="str">
        <f>IF(D5='3. Dropdowns'!C9,"Hide","Show")</f>
        <v>Show</v>
      </c>
      <c r="D242" s="236" t="s">
        <v>3314</v>
      </c>
      <c r="E242" s="237"/>
      <c r="F242" s="284" t="s">
        <v>540</v>
      </c>
      <c r="G242" s="230"/>
      <c r="H242" s="238"/>
      <c r="I242" s="239" t="s">
        <v>890</v>
      </c>
      <c r="J242" s="240" t="s">
        <v>890</v>
      </c>
      <c r="K242" s="240"/>
      <c r="L242" s="240"/>
      <c r="M242" s="240"/>
      <c r="N242" s="240"/>
      <c r="O242" s="240"/>
      <c r="P242" s="240"/>
      <c r="Q242" s="240"/>
      <c r="R242" s="240"/>
      <c r="S242" s="240"/>
      <c r="T242" s="240" t="s">
        <v>890</v>
      </c>
      <c r="U242" s="240"/>
      <c r="V242" s="240"/>
      <c r="W242" s="240"/>
      <c r="X242" s="238"/>
      <c r="Y242" s="240"/>
      <c r="Z242" s="240"/>
      <c r="AA242" s="240"/>
      <c r="AB242" s="240"/>
      <c r="AC242" s="240"/>
      <c r="AD242" s="240"/>
      <c r="AE242" s="240"/>
      <c r="AF242" s="240"/>
      <c r="AG242" s="240"/>
      <c r="AH242" s="238"/>
      <c r="AI242" s="240"/>
      <c r="AJ242" s="240"/>
      <c r="AK242" s="240"/>
      <c r="AL242" s="240"/>
      <c r="AM242" s="238"/>
      <c r="AN242" s="240"/>
      <c r="AO242" s="240"/>
      <c r="AP242" s="240"/>
      <c r="AQ242" s="238"/>
      <c r="AR242" s="240"/>
      <c r="AS242" s="240"/>
      <c r="AT242" s="240"/>
      <c r="AU242" s="240"/>
      <c r="AV242" s="240"/>
      <c r="AW242" s="240"/>
      <c r="AX242" s="240"/>
      <c r="AY242" s="240"/>
      <c r="AZ242" s="238"/>
      <c r="BA242" s="240"/>
      <c r="BB242" s="240"/>
      <c r="BC242" s="240"/>
      <c r="BD242" s="240"/>
      <c r="BE242" s="240"/>
      <c r="BF242" s="240"/>
      <c r="BG242" s="240"/>
      <c r="BH242" s="240"/>
      <c r="BI242" s="240"/>
      <c r="BJ242" s="240"/>
      <c r="BK242" s="240"/>
      <c r="BL242" s="240"/>
      <c r="BM242" s="240"/>
      <c r="BN242" s="240"/>
      <c r="BO242" s="240"/>
      <c r="BP242" s="238"/>
      <c r="BQ242" s="240"/>
      <c r="BR242" s="240"/>
      <c r="BS242" s="240"/>
      <c r="BT242" s="240"/>
      <c r="BU242" s="240"/>
      <c r="BV242" s="240"/>
      <c r="BW242" s="240"/>
      <c r="BX242" s="240"/>
      <c r="BY242" s="240"/>
      <c r="BZ242" s="240"/>
      <c r="CA242" s="240"/>
      <c r="CB242" s="240"/>
      <c r="CC242" s="240"/>
      <c r="CD242" s="240"/>
      <c r="CE242" s="240"/>
      <c r="CF242" s="238"/>
      <c r="CG242" s="240"/>
      <c r="CH242" s="240"/>
      <c r="CI242" s="240"/>
      <c r="CJ242" s="240"/>
      <c r="CK242" s="240"/>
      <c r="CL242" s="240"/>
      <c r="CM242" s="240"/>
      <c r="CN242" s="240"/>
      <c r="CO242" s="240"/>
      <c r="CP242" s="240"/>
      <c r="CQ242" s="240"/>
      <c r="CR242" s="240"/>
      <c r="CS242" s="238"/>
      <c r="CT242" s="240"/>
      <c r="CU242" s="240"/>
      <c r="CV242" s="240"/>
      <c r="CW242" s="240"/>
      <c r="CX242" s="240"/>
      <c r="CY242" s="240"/>
      <c r="CZ242" s="240"/>
      <c r="DA242" s="240"/>
      <c r="DB242" s="240"/>
      <c r="DC242" s="240"/>
      <c r="DD242" s="240"/>
      <c r="DE242" s="240"/>
      <c r="DF242" s="238"/>
      <c r="DG242" s="240"/>
      <c r="DH242" s="240"/>
      <c r="DI242" s="240"/>
      <c r="DJ242" s="240"/>
      <c r="DK242" s="240"/>
      <c r="DL242" s="240"/>
      <c r="DM242" s="240"/>
      <c r="DN242" s="240"/>
      <c r="DO242" s="240"/>
      <c r="DP242" s="240"/>
      <c r="DQ242" s="240"/>
      <c r="DR242" s="238"/>
      <c r="DS242" s="240"/>
      <c r="DT242" s="240"/>
      <c r="DU242" s="240"/>
      <c r="DV242" s="238"/>
      <c r="DW242" s="240"/>
      <c r="DX242" s="240"/>
      <c r="DY242" s="240"/>
      <c r="DZ242" s="240"/>
      <c r="EA242" s="240"/>
      <c r="EB242" s="240"/>
      <c r="EC242" s="240"/>
      <c r="ED242" s="240"/>
      <c r="EE242" s="240"/>
      <c r="EF242" s="238"/>
      <c r="EG242" s="240"/>
      <c r="EH242" s="240"/>
      <c r="EI242" s="240"/>
      <c r="EJ242" s="238"/>
      <c r="EK242" s="240"/>
      <c r="EL242" s="238"/>
      <c r="EM242" s="240"/>
      <c r="EN242" s="240"/>
      <c r="EO242" s="240"/>
      <c r="EP242" s="240"/>
      <c r="EQ242" s="240"/>
      <c r="ER242" s="240"/>
      <c r="ES242" s="240"/>
      <c r="ET242" s="240"/>
      <c r="EU242" s="240"/>
      <c r="EV242" s="240"/>
      <c r="EW242" s="240"/>
      <c r="EX242" s="238"/>
      <c r="EY242" s="240" t="s">
        <v>890</v>
      </c>
      <c r="EZ242" s="240" t="s">
        <v>890</v>
      </c>
      <c r="FA242" s="240"/>
      <c r="FB242" s="240" t="s">
        <v>890</v>
      </c>
      <c r="FC242" s="240"/>
      <c r="FD242" s="240" t="s">
        <v>890</v>
      </c>
      <c r="FE242" s="240" t="s">
        <v>890</v>
      </c>
      <c r="FF242" s="240" t="s">
        <v>890</v>
      </c>
      <c r="FG242" s="240"/>
      <c r="FH242" s="240"/>
      <c r="FI242" s="240"/>
      <c r="FJ242" s="240"/>
      <c r="FK242" s="240"/>
      <c r="FL242" s="240"/>
      <c r="FM242" s="240"/>
      <c r="FN242" s="240"/>
      <c r="FO242" s="238"/>
      <c r="FP242" s="240"/>
      <c r="FQ242" s="240"/>
      <c r="FR242" s="240"/>
      <c r="FS242" s="240"/>
      <c r="FT242" s="240"/>
      <c r="FU242" s="240"/>
      <c r="FV242" s="240"/>
      <c r="FW242" s="240"/>
      <c r="FX242" s="240"/>
      <c r="FY242" s="240"/>
      <c r="FZ242" s="238"/>
      <c r="GA242" s="240"/>
      <c r="GB242" s="240"/>
      <c r="GC242" s="238"/>
      <c r="GD242" s="240"/>
      <c r="GE242" s="240"/>
      <c r="GF242" s="240"/>
      <c r="GG242" s="240"/>
      <c r="GH242" s="238"/>
      <c r="GI242" s="240"/>
      <c r="GJ242" s="240"/>
      <c r="GK242" s="240"/>
      <c r="GL242" s="240"/>
      <c r="GM242" s="238"/>
      <c r="GN242" s="240"/>
      <c r="GO242" s="240"/>
      <c r="GP242" s="240"/>
      <c r="GQ242" s="240"/>
      <c r="GR242" s="240"/>
      <c r="GS242" s="240"/>
      <c r="GT242" s="240"/>
      <c r="GU242" s="240"/>
      <c r="GV242" s="240"/>
      <c r="GW242" s="240"/>
      <c r="GX242" s="240"/>
      <c r="GY242" s="240"/>
      <c r="GZ242" s="240"/>
      <c r="HA242" s="240"/>
      <c r="HB242" s="240"/>
      <c r="HC242" s="240"/>
      <c r="HD242" s="238"/>
      <c r="HE242" s="240"/>
      <c r="HF242" s="240"/>
      <c r="HG242" s="240"/>
      <c r="HH242" s="240"/>
      <c r="HI242" s="240"/>
      <c r="HJ242" s="238"/>
      <c r="HK242" s="240"/>
      <c r="HL242" s="238"/>
      <c r="HM242" s="241"/>
      <c r="HN242" s="235"/>
      <c r="HO242" s="235"/>
      <c r="HP242" s="235"/>
      <c r="HQ242" s="235"/>
    </row>
    <row r="243" spans="2:225" hidden="1" outlineLevel="1">
      <c r="B243" s="303" t="s">
        <v>1247</v>
      </c>
      <c r="C243" s="252" t="str">
        <f>IF(OR(D5='3. Dropdowns'!C7,D5='3. Dropdowns'!C8),"Hide","Show")</f>
        <v>Show</v>
      </c>
      <c r="D243" s="236" t="s">
        <v>3315</v>
      </c>
      <c r="E243" s="248"/>
      <c r="F243" s="284" t="str">
        <f>IF(E243='3. Dropdowns'!C317,"","Submittals, Products, Execution")</f>
        <v>Submittals, Products, Execution</v>
      </c>
      <c r="G243" s="230"/>
      <c r="H243" s="238"/>
      <c r="I243" s="239"/>
      <c r="J243" s="240"/>
      <c r="K243" s="240"/>
      <c r="L243" s="240"/>
      <c r="M243" s="240"/>
      <c r="N243" s="240"/>
      <c r="O243" s="240"/>
      <c r="P243" s="240"/>
      <c r="Q243" s="240"/>
      <c r="R243" s="240"/>
      <c r="S243" s="240"/>
      <c r="T243" s="240" t="s">
        <v>890</v>
      </c>
      <c r="U243" s="240"/>
      <c r="V243" s="240"/>
      <c r="W243" s="240"/>
      <c r="X243" s="238"/>
      <c r="Y243" s="240"/>
      <c r="Z243" s="240"/>
      <c r="AA243" s="240"/>
      <c r="AB243" s="240"/>
      <c r="AC243" s="240"/>
      <c r="AD243" s="240"/>
      <c r="AE243" s="240"/>
      <c r="AF243" s="240"/>
      <c r="AG243" s="240"/>
      <c r="AH243" s="238"/>
      <c r="AI243" s="240"/>
      <c r="AJ243" s="240"/>
      <c r="AK243" s="240"/>
      <c r="AL243" s="240"/>
      <c r="AM243" s="238"/>
      <c r="AN243" s="240"/>
      <c r="AO243" s="240"/>
      <c r="AP243" s="240"/>
      <c r="AQ243" s="238"/>
      <c r="AR243" s="240"/>
      <c r="AS243" s="240"/>
      <c r="AT243" s="240"/>
      <c r="AU243" s="240"/>
      <c r="AV243" s="240"/>
      <c r="AW243" s="240"/>
      <c r="AX243" s="240"/>
      <c r="AY243" s="240"/>
      <c r="AZ243" s="238"/>
      <c r="BA243" s="240"/>
      <c r="BB243" s="240"/>
      <c r="BC243" s="240"/>
      <c r="BD243" s="240"/>
      <c r="BE243" s="240"/>
      <c r="BF243" s="240"/>
      <c r="BG243" s="240"/>
      <c r="BH243" s="240"/>
      <c r="BI243" s="240"/>
      <c r="BJ243" s="240"/>
      <c r="BK243" s="240"/>
      <c r="BL243" s="240"/>
      <c r="BM243" s="240"/>
      <c r="BN243" s="240"/>
      <c r="BO243" s="240"/>
      <c r="BP243" s="238"/>
      <c r="BQ243" s="240"/>
      <c r="BR243" s="240"/>
      <c r="BS243" s="240"/>
      <c r="BT243" s="240"/>
      <c r="BU243" s="240"/>
      <c r="BV243" s="240"/>
      <c r="BW243" s="240"/>
      <c r="BX243" s="240"/>
      <c r="BY243" s="240"/>
      <c r="BZ243" s="240"/>
      <c r="CA243" s="240"/>
      <c r="CB243" s="240"/>
      <c r="CC243" s="240"/>
      <c r="CD243" s="240"/>
      <c r="CE243" s="240"/>
      <c r="CF243" s="238"/>
      <c r="CG243" s="240"/>
      <c r="CH243" s="240"/>
      <c r="CI243" s="240"/>
      <c r="CJ243" s="240"/>
      <c r="CK243" s="240"/>
      <c r="CL243" s="240"/>
      <c r="CM243" s="240"/>
      <c r="CN243" s="240"/>
      <c r="CO243" s="240"/>
      <c r="CP243" s="240"/>
      <c r="CQ243" s="240"/>
      <c r="CR243" s="240"/>
      <c r="CS243" s="238"/>
      <c r="CT243" s="240"/>
      <c r="CU243" s="240"/>
      <c r="CV243" s="240"/>
      <c r="CW243" s="240"/>
      <c r="CX243" s="240"/>
      <c r="CY243" s="240"/>
      <c r="CZ243" s="240"/>
      <c r="DA243" s="240"/>
      <c r="DB243" s="240"/>
      <c r="DC243" s="240"/>
      <c r="DD243" s="240"/>
      <c r="DE243" s="240"/>
      <c r="DF243" s="238"/>
      <c r="DG243" s="240"/>
      <c r="DH243" s="240"/>
      <c r="DI243" s="240"/>
      <c r="DJ243" s="240"/>
      <c r="DK243" s="240"/>
      <c r="DL243" s="240"/>
      <c r="DM243" s="240"/>
      <c r="DN243" s="240"/>
      <c r="DO243" s="240"/>
      <c r="DP243" s="240"/>
      <c r="DQ243" s="240"/>
      <c r="DR243" s="238"/>
      <c r="DS243" s="240"/>
      <c r="DT243" s="240"/>
      <c r="DU243" s="240"/>
      <c r="DV243" s="238"/>
      <c r="DW243" s="240"/>
      <c r="DX243" s="240"/>
      <c r="DY243" s="240"/>
      <c r="DZ243" s="240"/>
      <c r="EA243" s="240"/>
      <c r="EB243" s="240"/>
      <c r="EC243" s="240"/>
      <c r="ED243" s="240"/>
      <c r="EE243" s="240"/>
      <c r="EF243" s="238"/>
      <c r="EG243" s="240"/>
      <c r="EH243" s="240"/>
      <c r="EI243" s="240"/>
      <c r="EJ243" s="238"/>
      <c r="EK243" s="240"/>
      <c r="EL243" s="238"/>
      <c r="EM243" s="240"/>
      <c r="EN243" s="240"/>
      <c r="EO243" s="240"/>
      <c r="EP243" s="240"/>
      <c r="EQ243" s="240"/>
      <c r="ER243" s="240"/>
      <c r="ES243" s="240"/>
      <c r="ET243" s="240"/>
      <c r="EU243" s="240"/>
      <c r="EV243" s="240"/>
      <c r="EW243" s="240"/>
      <c r="EX243" s="238"/>
      <c r="EY243" s="240" t="s">
        <v>890</v>
      </c>
      <c r="EZ243" s="240" t="s">
        <v>890</v>
      </c>
      <c r="FA243" s="240"/>
      <c r="FB243" s="240" t="s">
        <v>890</v>
      </c>
      <c r="FC243" s="240"/>
      <c r="FD243" s="240" t="s">
        <v>890</v>
      </c>
      <c r="FE243" s="240" t="s">
        <v>890</v>
      </c>
      <c r="FF243" s="240" t="s">
        <v>890</v>
      </c>
      <c r="FG243" s="240"/>
      <c r="FH243" s="240"/>
      <c r="FI243" s="240"/>
      <c r="FJ243" s="240"/>
      <c r="FK243" s="240"/>
      <c r="FL243" s="240"/>
      <c r="FM243" s="240"/>
      <c r="FN243" s="240"/>
      <c r="FO243" s="238"/>
      <c r="FP243" s="240"/>
      <c r="FQ243" s="240"/>
      <c r="FR243" s="240"/>
      <c r="FS243" s="240"/>
      <c r="FT243" s="240"/>
      <c r="FU243" s="240"/>
      <c r="FV243" s="240"/>
      <c r="FW243" s="240"/>
      <c r="FX243" s="240"/>
      <c r="FY243" s="240"/>
      <c r="FZ243" s="238"/>
      <c r="GA243" s="240"/>
      <c r="GB243" s="240"/>
      <c r="GC243" s="238"/>
      <c r="GD243" s="240"/>
      <c r="GE243" s="240"/>
      <c r="GF243" s="240"/>
      <c r="GG243" s="240"/>
      <c r="GH243" s="238"/>
      <c r="GI243" s="240"/>
      <c r="GJ243" s="240"/>
      <c r="GK243" s="240"/>
      <c r="GL243" s="240"/>
      <c r="GM243" s="238"/>
      <c r="GN243" s="240"/>
      <c r="GO243" s="240"/>
      <c r="GP243" s="240"/>
      <c r="GQ243" s="240"/>
      <c r="GR243" s="240"/>
      <c r="GS243" s="240"/>
      <c r="GT243" s="240"/>
      <c r="GU243" s="240"/>
      <c r="GV243" s="240"/>
      <c r="GW243" s="240"/>
      <c r="GX243" s="240"/>
      <c r="GY243" s="240"/>
      <c r="GZ243" s="240"/>
      <c r="HA243" s="240"/>
      <c r="HB243" s="240"/>
      <c r="HC243" s="240"/>
      <c r="HD243" s="238"/>
      <c r="HE243" s="240"/>
      <c r="HF243" s="240"/>
      <c r="HG243" s="240"/>
      <c r="HH243" s="240"/>
      <c r="HI243" s="240"/>
      <c r="HJ243" s="238"/>
      <c r="HK243" s="240"/>
      <c r="HL243" s="238"/>
      <c r="HM243" s="241"/>
      <c r="HN243" s="235"/>
      <c r="HO243" s="235"/>
      <c r="HP243" s="235"/>
      <c r="HQ243" s="235"/>
    </row>
    <row r="244" spans="2:225" ht="37.5" hidden="1" outlineLevel="1">
      <c r="B244" s="303" t="s">
        <v>1256</v>
      </c>
      <c r="C244" s="252" t="str">
        <f>IF(OR(D5='3. Dropdowns'!C7,D5='3. Dropdowns'!C8),"Hide",IF(OR(D7='3. Dropdowns'!C17,D7='3. Dropdowns'!C18),"Hide","Show"))</f>
        <v>Show</v>
      </c>
      <c r="D244" s="236" t="s">
        <v>3316</v>
      </c>
      <c r="E244" s="248"/>
      <c r="F244" s="284" t="str">
        <f>IF(E244='3. Dropdowns'!C325,"","Submittals, Products, Execution")</f>
        <v>Submittals, Products, Execution</v>
      </c>
      <c r="G244" s="230"/>
      <c r="H244" s="238"/>
      <c r="I244" s="239"/>
      <c r="J244" s="240"/>
      <c r="K244" s="240"/>
      <c r="L244" s="240"/>
      <c r="M244" s="240"/>
      <c r="N244" s="240"/>
      <c r="O244" s="240"/>
      <c r="P244" s="240"/>
      <c r="Q244" s="240"/>
      <c r="R244" s="240"/>
      <c r="S244" s="240"/>
      <c r="T244" s="240" t="s">
        <v>890</v>
      </c>
      <c r="U244" s="240"/>
      <c r="V244" s="240"/>
      <c r="W244" s="240"/>
      <c r="X244" s="238"/>
      <c r="Y244" s="240"/>
      <c r="Z244" s="240"/>
      <c r="AA244" s="240"/>
      <c r="AB244" s="240"/>
      <c r="AC244" s="240"/>
      <c r="AD244" s="240"/>
      <c r="AE244" s="240"/>
      <c r="AF244" s="240"/>
      <c r="AG244" s="240"/>
      <c r="AH244" s="238"/>
      <c r="AI244" s="240"/>
      <c r="AJ244" s="240"/>
      <c r="AK244" s="240"/>
      <c r="AL244" s="240"/>
      <c r="AM244" s="238"/>
      <c r="AN244" s="240"/>
      <c r="AO244" s="240"/>
      <c r="AP244" s="240"/>
      <c r="AQ244" s="238"/>
      <c r="AR244" s="240"/>
      <c r="AS244" s="240"/>
      <c r="AT244" s="240"/>
      <c r="AU244" s="240"/>
      <c r="AV244" s="240"/>
      <c r="AW244" s="240"/>
      <c r="AX244" s="240"/>
      <c r="AY244" s="240"/>
      <c r="AZ244" s="238"/>
      <c r="BA244" s="240"/>
      <c r="BB244" s="240"/>
      <c r="BC244" s="240"/>
      <c r="BD244" s="240"/>
      <c r="BE244" s="240"/>
      <c r="BF244" s="240"/>
      <c r="BG244" s="240"/>
      <c r="BH244" s="240"/>
      <c r="BI244" s="240"/>
      <c r="BJ244" s="240"/>
      <c r="BK244" s="240"/>
      <c r="BL244" s="240"/>
      <c r="BM244" s="240"/>
      <c r="BN244" s="240"/>
      <c r="BO244" s="240"/>
      <c r="BP244" s="238"/>
      <c r="BQ244" s="240"/>
      <c r="BR244" s="240"/>
      <c r="BS244" s="240"/>
      <c r="BT244" s="240"/>
      <c r="BU244" s="240"/>
      <c r="BV244" s="240"/>
      <c r="BW244" s="240"/>
      <c r="BX244" s="240"/>
      <c r="BY244" s="240"/>
      <c r="BZ244" s="240"/>
      <c r="CA244" s="240"/>
      <c r="CB244" s="240"/>
      <c r="CC244" s="240"/>
      <c r="CD244" s="240"/>
      <c r="CE244" s="240"/>
      <c r="CF244" s="238"/>
      <c r="CG244" s="240"/>
      <c r="CH244" s="240"/>
      <c r="CI244" s="240"/>
      <c r="CJ244" s="240"/>
      <c r="CK244" s="240"/>
      <c r="CL244" s="240"/>
      <c r="CM244" s="240"/>
      <c r="CN244" s="240"/>
      <c r="CO244" s="240"/>
      <c r="CP244" s="240"/>
      <c r="CQ244" s="240"/>
      <c r="CR244" s="240"/>
      <c r="CS244" s="238"/>
      <c r="CT244" s="240"/>
      <c r="CU244" s="240"/>
      <c r="CV244" s="240"/>
      <c r="CW244" s="240"/>
      <c r="CX244" s="240"/>
      <c r="CY244" s="240"/>
      <c r="CZ244" s="240"/>
      <c r="DA244" s="240"/>
      <c r="DB244" s="240"/>
      <c r="DC244" s="240"/>
      <c r="DD244" s="240"/>
      <c r="DE244" s="240"/>
      <c r="DF244" s="238"/>
      <c r="DG244" s="240"/>
      <c r="DH244" s="240"/>
      <c r="DI244" s="240"/>
      <c r="DJ244" s="240"/>
      <c r="DK244" s="240"/>
      <c r="DL244" s="240"/>
      <c r="DM244" s="240"/>
      <c r="DN244" s="240"/>
      <c r="DO244" s="240"/>
      <c r="DP244" s="240"/>
      <c r="DQ244" s="240"/>
      <c r="DR244" s="238"/>
      <c r="DS244" s="240"/>
      <c r="DT244" s="240"/>
      <c r="DU244" s="240"/>
      <c r="DV244" s="238"/>
      <c r="DW244" s="240"/>
      <c r="DX244" s="240"/>
      <c r="DY244" s="240"/>
      <c r="DZ244" s="240"/>
      <c r="EA244" s="240"/>
      <c r="EB244" s="240"/>
      <c r="EC244" s="240"/>
      <c r="ED244" s="240"/>
      <c r="EE244" s="240"/>
      <c r="EF244" s="238"/>
      <c r="EG244" s="240"/>
      <c r="EH244" s="240"/>
      <c r="EI244" s="240"/>
      <c r="EJ244" s="238"/>
      <c r="EK244" s="240"/>
      <c r="EL244" s="238"/>
      <c r="EM244" s="240"/>
      <c r="EN244" s="240"/>
      <c r="EO244" s="240"/>
      <c r="EP244" s="240"/>
      <c r="EQ244" s="240"/>
      <c r="ER244" s="240"/>
      <c r="ES244" s="240"/>
      <c r="ET244" s="240"/>
      <c r="EU244" s="240"/>
      <c r="EV244" s="240"/>
      <c r="EW244" s="240"/>
      <c r="EX244" s="238"/>
      <c r="EY244" s="240" t="s">
        <v>890</v>
      </c>
      <c r="EZ244" s="240" t="s">
        <v>890</v>
      </c>
      <c r="FA244" s="240"/>
      <c r="FB244" s="240" t="s">
        <v>890</v>
      </c>
      <c r="FC244" s="240"/>
      <c r="FD244" s="240" t="s">
        <v>890</v>
      </c>
      <c r="FE244" s="240" t="s">
        <v>890</v>
      </c>
      <c r="FF244" s="240" t="s">
        <v>890</v>
      </c>
      <c r="FG244" s="240"/>
      <c r="FH244" s="240"/>
      <c r="FI244" s="240"/>
      <c r="FJ244" s="240"/>
      <c r="FK244" s="240"/>
      <c r="FL244" s="240"/>
      <c r="FM244" s="240"/>
      <c r="FN244" s="240"/>
      <c r="FO244" s="238"/>
      <c r="FP244" s="240"/>
      <c r="FQ244" s="240"/>
      <c r="FR244" s="240"/>
      <c r="FS244" s="240"/>
      <c r="FT244" s="240"/>
      <c r="FU244" s="240"/>
      <c r="FV244" s="240"/>
      <c r="FW244" s="240"/>
      <c r="FX244" s="240"/>
      <c r="FY244" s="240"/>
      <c r="FZ244" s="238"/>
      <c r="GA244" s="240"/>
      <c r="GB244" s="240"/>
      <c r="GC244" s="238"/>
      <c r="GD244" s="240"/>
      <c r="GE244" s="240"/>
      <c r="GF244" s="240"/>
      <c r="GG244" s="240"/>
      <c r="GH244" s="238"/>
      <c r="GI244" s="240"/>
      <c r="GJ244" s="240"/>
      <c r="GK244" s="240"/>
      <c r="GL244" s="240"/>
      <c r="GM244" s="238"/>
      <c r="GN244" s="240"/>
      <c r="GO244" s="240"/>
      <c r="GP244" s="240"/>
      <c r="GQ244" s="240"/>
      <c r="GR244" s="240"/>
      <c r="GS244" s="240"/>
      <c r="GT244" s="240"/>
      <c r="GU244" s="240"/>
      <c r="GV244" s="240"/>
      <c r="GW244" s="240"/>
      <c r="GX244" s="240"/>
      <c r="GY244" s="240"/>
      <c r="GZ244" s="240"/>
      <c r="HA244" s="240"/>
      <c r="HB244" s="240"/>
      <c r="HC244" s="240"/>
      <c r="HD244" s="238"/>
      <c r="HE244" s="240"/>
      <c r="HF244" s="240"/>
      <c r="HG244" s="240"/>
      <c r="HH244" s="240"/>
      <c r="HI244" s="240"/>
      <c r="HJ244" s="238"/>
      <c r="HK244" s="240"/>
      <c r="HL244" s="238"/>
      <c r="HM244" s="241"/>
      <c r="HN244" s="235"/>
      <c r="HO244" s="235"/>
      <c r="HP244" s="235"/>
      <c r="HQ244" s="235"/>
    </row>
    <row r="245" spans="2:225" hidden="1" outlineLevel="1">
      <c r="B245" s="275"/>
      <c r="C245" s="258" t="s">
        <v>116</v>
      </c>
      <c r="D245" s="236" t="s">
        <v>3317</v>
      </c>
      <c r="E245" s="248"/>
      <c r="F245" s="284" t="str">
        <f>IF(E245='3. Dropdowns'!C328,"","Submittals, Products")</f>
        <v>Submittals, Products</v>
      </c>
      <c r="G245" s="230"/>
      <c r="H245" s="238"/>
      <c r="I245" s="239"/>
      <c r="J245" s="240" t="s">
        <v>890</v>
      </c>
      <c r="K245" s="240"/>
      <c r="L245" s="240"/>
      <c r="M245" s="240"/>
      <c r="N245" s="240"/>
      <c r="O245" s="240"/>
      <c r="P245" s="240"/>
      <c r="Q245" s="240"/>
      <c r="R245" s="240"/>
      <c r="S245" s="240"/>
      <c r="T245" s="240" t="s">
        <v>890</v>
      </c>
      <c r="U245" s="240"/>
      <c r="V245" s="240"/>
      <c r="W245" s="240"/>
      <c r="X245" s="238"/>
      <c r="Y245" s="240"/>
      <c r="Z245" s="240"/>
      <c r="AA245" s="240"/>
      <c r="AB245" s="240"/>
      <c r="AC245" s="240"/>
      <c r="AD245" s="240"/>
      <c r="AE245" s="240"/>
      <c r="AF245" s="240"/>
      <c r="AG245" s="240"/>
      <c r="AH245" s="238"/>
      <c r="AI245" s="240"/>
      <c r="AJ245" s="240"/>
      <c r="AK245" s="240"/>
      <c r="AL245" s="240"/>
      <c r="AM245" s="238"/>
      <c r="AN245" s="240"/>
      <c r="AO245" s="240"/>
      <c r="AP245" s="240"/>
      <c r="AQ245" s="238"/>
      <c r="AR245" s="240"/>
      <c r="AS245" s="240"/>
      <c r="AT245" s="240"/>
      <c r="AU245" s="240"/>
      <c r="AV245" s="240"/>
      <c r="AW245" s="240"/>
      <c r="AX245" s="240"/>
      <c r="AY245" s="240"/>
      <c r="AZ245" s="238"/>
      <c r="BA245" s="240"/>
      <c r="BB245" s="240"/>
      <c r="BC245" s="240"/>
      <c r="BD245" s="240"/>
      <c r="BE245" s="240"/>
      <c r="BF245" s="240"/>
      <c r="BG245" s="240"/>
      <c r="BH245" s="240"/>
      <c r="BI245" s="240"/>
      <c r="BJ245" s="240"/>
      <c r="BK245" s="240"/>
      <c r="BL245" s="240"/>
      <c r="BM245" s="240"/>
      <c r="BN245" s="240"/>
      <c r="BO245" s="240"/>
      <c r="BP245" s="238"/>
      <c r="BQ245" s="240"/>
      <c r="BR245" s="240"/>
      <c r="BS245" s="240"/>
      <c r="BT245" s="240"/>
      <c r="BU245" s="240"/>
      <c r="BV245" s="240"/>
      <c r="BW245" s="240"/>
      <c r="BX245" s="240"/>
      <c r="BY245" s="240"/>
      <c r="BZ245" s="240"/>
      <c r="CA245" s="240"/>
      <c r="CB245" s="240"/>
      <c r="CC245" s="240"/>
      <c r="CD245" s="240"/>
      <c r="CE245" s="240"/>
      <c r="CF245" s="238"/>
      <c r="CG245" s="240"/>
      <c r="CH245" s="240"/>
      <c r="CI245" s="240"/>
      <c r="CJ245" s="240"/>
      <c r="CK245" s="240"/>
      <c r="CL245" s="240"/>
      <c r="CM245" s="240"/>
      <c r="CN245" s="240"/>
      <c r="CO245" s="240"/>
      <c r="CP245" s="240"/>
      <c r="CQ245" s="240"/>
      <c r="CR245" s="240"/>
      <c r="CS245" s="238"/>
      <c r="CT245" s="240"/>
      <c r="CU245" s="240"/>
      <c r="CV245" s="240"/>
      <c r="CW245" s="240"/>
      <c r="CX245" s="240"/>
      <c r="CY245" s="240"/>
      <c r="CZ245" s="240"/>
      <c r="DA245" s="240"/>
      <c r="DB245" s="240"/>
      <c r="DC245" s="240"/>
      <c r="DD245" s="240"/>
      <c r="DE245" s="240"/>
      <c r="DF245" s="238"/>
      <c r="DG245" s="240"/>
      <c r="DH245" s="240"/>
      <c r="DI245" s="240"/>
      <c r="DJ245" s="240"/>
      <c r="DK245" s="240"/>
      <c r="DL245" s="240"/>
      <c r="DM245" s="240"/>
      <c r="DN245" s="240"/>
      <c r="DO245" s="240"/>
      <c r="DP245" s="240"/>
      <c r="DQ245" s="240"/>
      <c r="DR245" s="238"/>
      <c r="DS245" s="240"/>
      <c r="DT245" s="240"/>
      <c r="DU245" s="240"/>
      <c r="DV245" s="238"/>
      <c r="DW245" s="240"/>
      <c r="DX245" s="240"/>
      <c r="DY245" s="240"/>
      <c r="DZ245" s="240"/>
      <c r="EA245" s="240"/>
      <c r="EB245" s="240"/>
      <c r="EC245" s="240"/>
      <c r="ED245" s="240"/>
      <c r="EE245" s="240"/>
      <c r="EF245" s="238"/>
      <c r="EG245" s="240"/>
      <c r="EH245" s="240"/>
      <c r="EI245" s="240"/>
      <c r="EJ245" s="238"/>
      <c r="EK245" s="240"/>
      <c r="EL245" s="238"/>
      <c r="EM245" s="240"/>
      <c r="EN245" s="240"/>
      <c r="EO245" s="240"/>
      <c r="EP245" s="240"/>
      <c r="EQ245" s="240"/>
      <c r="ER245" s="240"/>
      <c r="ES245" s="240"/>
      <c r="ET245" s="240"/>
      <c r="EU245" s="240"/>
      <c r="EV245" s="240"/>
      <c r="EW245" s="240"/>
      <c r="EX245" s="238"/>
      <c r="EY245" s="240"/>
      <c r="EZ245" s="240"/>
      <c r="FA245" s="240"/>
      <c r="FB245" s="240"/>
      <c r="FC245" s="240"/>
      <c r="FD245" s="240"/>
      <c r="FE245" s="240"/>
      <c r="FF245" s="240"/>
      <c r="FG245" s="240" t="s">
        <v>890</v>
      </c>
      <c r="FH245" s="240"/>
      <c r="FI245" s="240"/>
      <c r="FJ245" s="240"/>
      <c r="FK245" s="240"/>
      <c r="FL245" s="240"/>
      <c r="FM245" s="240"/>
      <c r="FN245" s="240"/>
      <c r="FO245" s="238"/>
      <c r="FP245" s="240"/>
      <c r="FQ245" s="240"/>
      <c r="FR245" s="240"/>
      <c r="FS245" s="240"/>
      <c r="FT245" s="240"/>
      <c r="FU245" s="240"/>
      <c r="FV245" s="240"/>
      <c r="FW245" s="240"/>
      <c r="FX245" s="240"/>
      <c r="FY245" s="240"/>
      <c r="FZ245" s="238"/>
      <c r="GA245" s="240"/>
      <c r="GB245" s="240"/>
      <c r="GC245" s="238"/>
      <c r="GD245" s="240"/>
      <c r="GE245" s="240"/>
      <c r="GF245" s="240"/>
      <c r="GG245" s="240"/>
      <c r="GH245" s="238"/>
      <c r="GI245" s="240"/>
      <c r="GJ245" s="240"/>
      <c r="GK245" s="240"/>
      <c r="GL245" s="240"/>
      <c r="GM245" s="238"/>
      <c r="GN245" s="240"/>
      <c r="GO245" s="240"/>
      <c r="GP245" s="240"/>
      <c r="GQ245" s="240"/>
      <c r="GR245" s="240"/>
      <c r="GS245" s="240"/>
      <c r="GT245" s="240"/>
      <c r="GU245" s="240"/>
      <c r="GV245" s="240"/>
      <c r="GW245" s="240"/>
      <c r="GX245" s="240"/>
      <c r="GY245" s="240"/>
      <c r="GZ245" s="240"/>
      <c r="HA245" s="240"/>
      <c r="HB245" s="240"/>
      <c r="HC245" s="240"/>
      <c r="HD245" s="238"/>
      <c r="HE245" s="240"/>
      <c r="HF245" s="240"/>
      <c r="HG245" s="240"/>
      <c r="HH245" s="240"/>
      <c r="HI245" s="240"/>
      <c r="HJ245" s="238"/>
      <c r="HK245" s="240"/>
      <c r="HL245" s="238"/>
      <c r="HM245" s="241"/>
      <c r="HN245" s="235"/>
      <c r="HO245" s="235"/>
      <c r="HP245" s="235"/>
      <c r="HQ245" s="235"/>
    </row>
    <row r="246" spans="2:225" hidden="1" outlineLevel="1">
      <c r="B246" s="275"/>
      <c r="C246" s="258" t="s">
        <v>116</v>
      </c>
      <c r="D246" s="236" t="s">
        <v>3318</v>
      </c>
      <c r="E246" s="248" t="s">
        <v>3001</v>
      </c>
      <c r="F246" s="284" t="str">
        <f>IF(E246="Criterion 7.7 not used.","","Submittals, Products, Execution")</f>
        <v>Submittals, Products, Execution</v>
      </c>
      <c r="G246" s="230"/>
      <c r="H246" s="238"/>
      <c r="I246" s="239" t="s">
        <v>890</v>
      </c>
      <c r="J246" s="240"/>
      <c r="K246" s="240"/>
      <c r="L246" s="240"/>
      <c r="M246" s="240"/>
      <c r="N246" s="240" t="s">
        <v>890</v>
      </c>
      <c r="O246" s="240"/>
      <c r="P246" s="240"/>
      <c r="Q246" s="240"/>
      <c r="R246" s="240"/>
      <c r="S246" s="240"/>
      <c r="T246" s="240" t="s">
        <v>890</v>
      </c>
      <c r="U246" s="240"/>
      <c r="V246" s="240"/>
      <c r="W246" s="240"/>
      <c r="X246" s="238"/>
      <c r="Y246" s="240"/>
      <c r="Z246" s="240"/>
      <c r="AA246" s="240"/>
      <c r="AB246" s="240"/>
      <c r="AC246" s="240"/>
      <c r="AD246" s="240"/>
      <c r="AE246" s="240"/>
      <c r="AF246" s="240"/>
      <c r="AG246" s="240"/>
      <c r="AH246" s="238"/>
      <c r="AI246" s="240"/>
      <c r="AJ246" s="240"/>
      <c r="AK246" s="240"/>
      <c r="AL246" s="240"/>
      <c r="AM246" s="238"/>
      <c r="AN246" s="240"/>
      <c r="AO246" s="240"/>
      <c r="AP246" s="240"/>
      <c r="AQ246" s="238"/>
      <c r="AR246" s="240"/>
      <c r="AS246" s="240"/>
      <c r="AT246" s="240"/>
      <c r="AU246" s="240"/>
      <c r="AV246" s="240"/>
      <c r="AW246" s="240"/>
      <c r="AX246" s="240"/>
      <c r="AY246" s="240"/>
      <c r="AZ246" s="238"/>
      <c r="BA246" s="240"/>
      <c r="BB246" s="240"/>
      <c r="BC246" s="240"/>
      <c r="BD246" s="240"/>
      <c r="BE246" s="240"/>
      <c r="BF246" s="240"/>
      <c r="BG246" s="240"/>
      <c r="BH246" s="240"/>
      <c r="BI246" s="240"/>
      <c r="BJ246" s="240"/>
      <c r="BK246" s="240"/>
      <c r="BL246" s="240"/>
      <c r="BM246" s="240"/>
      <c r="BN246" s="240"/>
      <c r="BO246" s="240"/>
      <c r="BP246" s="238"/>
      <c r="BQ246" s="240"/>
      <c r="BR246" s="240"/>
      <c r="BS246" s="240"/>
      <c r="BT246" s="240"/>
      <c r="BU246" s="240"/>
      <c r="BV246" s="240"/>
      <c r="BW246" s="240"/>
      <c r="BX246" s="240"/>
      <c r="BY246" s="240"/>
      <c r="BZ246" s="240"/>
      <c r="CA246" s="240"/>
      <c r="CB246" s="240"/>
      <c r="CC246" s="240"/>
      <c r="CD246" s="240"/>
      <c r="CE246" s="240"/>
      <c r="CF246" s="238"/>
      <c r="CG246" s="240"/>
      <c r="CH246" s="240"/>
      <c r="CI246" s="240"/>
      <c r="CJ246" s="240"/>
      <c r="CK246" s="240"/>
      <c r="CL246" s="240"/>
      <c r="CM246" s="240"/>
      <c r="CN246" s="240"/>
      <c r="CO246" s="240"/>
      <c r="CP246" s="240"/>
      <c r="CQ246" s="240"/>
      <c r="CR246" s="240"/>
      <c r="CS246" s="238"/>
      <c r="CT246" s="240"/>
      <c r="CU246" s="240"/>
      <c r="CV246" s="240"/>
      <c r="CW246" s="240"/>
      <c r="CX246" s="240"/>
      <c r="CY246" s="240"/>
      <c r="CZ246" s="240"/>
      <c r="DA246" s="240"/>
      <c r="DB246" s="240"/>
      <c r="DC246" s="240"/>
      <c r="DD246" s="240"/>
      <c r="DE246" s="240"/>
      <c r="DF246" s="238"/>
      <c r="DG246" s="240"/>
      <c r="DH246" s="240"/>
      <c r="DI246" s="240"/>
      <c r="DJ246" s="240"/>
      <c r="DK246" s="240"/>
      <c r="DL246" s="240"/>
      <c r="DM246" s="240"/>
      <c r="DN246" s="240"/>
      <c r="DO246" s="240"/>
      <c r="DP246" s="240"/>
      <c r="DQ246" s="240"/>
      <c r="DR246" s="238"/>
      <c r="DS246" s="240"/>
      <c r="DT246" s="240"/>
      <c r="DU246" s="240"/>
      <c r="DV246" s="238"/>
      <c r="DW246" s="240"/>
      <c r="DX246" s="240"/>
      <c r="DY246" s="240"/>
      <c r="DZ246" s="240"/>
      <c r="EA246" s="240"/>
      <c r="EB246" s="240"/>
      <c r="EC246" s="240"/>
      <c r="ED246" s="240"/>
      <c r="EE246" s="240"/>
      <c r="EF246" s="238"/>
      <c r="EG246" s="240"/>
      <c r="EH246" s="240"/>
      <c r="EI246" s="240"/>
      <c r="EJ246" s="238"/>
      <c r="EK246" s="240"/>
      <c r="EL246" s="238"/>
      <c r="EM246" s="240"/>
      <c r="EN246" s="240"/>
      <c r="EO246" s="240"/>
      <c r="EP246" s="240"/>
      <c r="EQ246" s="240"/>
      <c r="ER246" s="240"/>
      <c r="ES246" s="240"/>
      <c r="ET246" s="240"/>
      <c r="EU246" s="240"/>
      <c r="EV246" s="240"/>
      <c r="EW246" s="240"/>
      <c r="EX246" s="238"/>
      <c r="EY246" s="240" t="s">
        <v>890</v>
      </c>
      <c r="EZ246" s="240" t="s">
        <v>890</v>
      </c>
      <c r="FA246" s="240"/>
      <c r="FB246" s="240" t="s">
        <v>890</v>
      </c>
      <c r="FC246" s="240"/>
      <c r="FD246" s="240"/>
      <c r="FE246" s="240"/>
      <c r="FF246" s="240"/>
      <c r="FG246" s="240" t="s">
        <v>890</v>
      </c>
      <c r="FH246" s="240"/>
      <c r="FI246" s="240"/>
      <c r="FJ246" s="240"/>
      <c r="FK246" s="240"/>
      <c r="FL246" s="240"/>
      <c r="FM246" s="240"/>
      <c r="FN246" s="240"/>
      <c r="FO246" s="238"/>
      <c r="FP246" s="240"/>
      <c r="FQ246" s="240"/>
      <c r="FR246" s="240"/>
      <c r="FS246" s="240"/>
      <c r="FT246" s="240"/>
      <c r="FU246" s="240"/>
      <c r="FV246" s="240"/>
      <c r="FW246" s="240"/>
      <c r="FX246" s="240"/>
      <c r="FY246" s="240"/>
      <c r="FZ246" s="238"/>
      <c r="GA246" s="240"/>
      <c r="GB246" s="240"/>
      <c r="GC246" s="238"/>
      <c r="GD246" s="240"/>
      <c r="GE246" s="240"/>
      <c r="GF246" s="240"/>
      <c r="GG246" s="240"/>
      <c r="GH246" s="238"/>
      <c r="GI246" s="240"/>
      <c r="GJ246" s="240"/>
      <c r="GK246" s="240"/>
      <c r="GL246" s="240"/>
      <c r="GM246" s="238"/>
      <c r="GN246" s="240"/>
      <c r="GO246" s="240"/>
      <c r="GP246" s="240"/>
      <c r="GQ246" s="240"/>
      <c r="GR246" s="240"/>
      <c r="GS246" s="240"/>
      <c r="GT246" s="240"/>
      <c r="GU246" s="240"/>
      <c r="GV246" s="240"/>
      <c r="GW246" s="240"/>
      <c r="GX246" s="240"/>
      <c r="GY246" s="240"/>
      <c r="GZ246" s="240"/>
      <c r="HA246" s="240"/>
      <c r="HB246" s="240"/>
      <c r="HC246" s="240"/>
      <c r="HD246" s="238"/>
      <c r="HE246" s="240"/>
      <c r="HF246" s="240"/>
      <c r="HG246" s="240"/>
      <c r="HH246" s="240"/>
      <c r="HI246" s="240"/>
      <c r="HJ246" s="238"/>
      <c r="HK246" s="240"/>
      <c r="HL246" s="238"/>
      <c r="HM246" s="241"/>
      <c r="HN246" s="235"/>
      <c r="HO246" s="235"/>
      <c r="HP246" s="235"/>
      <c r="HQ246" s="235"/>
    </row>
    <row r="247" spans="2:225" ht="37.5" hidden="1" outlineLevel="1">
      <c r="B247" s="303" t="s">
        <v>1293</v>
      </c>
      <c r="C247" s="252" t="str">
        <f>IF(AND(OR(F6='3. Dropdowns'!C21,F6='3. Dropdowns'!C22,F6='3. Dropdowns'!C24,F6='3. Dropdowns'!C27),NOT(E190='3. Dropdowns'!C191)),"Show",IF(OR(F6="",E190=""),"Show","Hide"))</f>
        <v>Show</v>
      </c>
      <c r="D247" s="236" t="s">
        <v>3319</v>
      </c>
      <c r="E247" s="248"/>
      <c r="F247" s="284" t="s">
        <v>540</v>
      </c>
      <c r="G247" s="230"/>
      <c r="H247" s="238"/>
      <c r="I247" s="239" t="s">
        <v>890</v>
      </c>
      <c r="J247" s="240" t="s">
        <v>890</v>
      </c>
      <c r="K247" s="240"/>
      <c r="L247" s="240"/>
      <c r="M247" s="240"/>
      <c r="N247" s="240"/>
      <c r="O247" s="240"/>
      <c r="P247" s="240"/>
      <c r="Q247" s="240"/>
      <c r="R247" s="240"/>
      <c r="S247" s="240"/>
      <c r="T247" s="240" t="s">
        <v>890</v>
      </c>
      <c r="U247" s="240"/>
      <c r="V247" s="240"/>
      <c r="W247" s="240"/>
      <c r="X247" s="238"/>
      <c r="Y247" s="240"/>
      <c r="Z247" s="240"/>
      <c r="AA247" s="240"/>
      <c r="AB247" s="240"/>
      <c r="AC247" s="240"/>
      <c r="AD247" s="240"/>
      <c r="AE247" s="240"/>
      <c r="AF247" s="240"/>
      <c r="AG247" s="240"/>
      <c r="AH247" s="238"/>
      <c r="AI247" s="240"/>
      <c r="AJ247" s="240"/>
      <c r="AK247" s="240"/>
      <c r="AL247" s="240"/>
      <c r="AM247" s="238"/>
      <c r="AN247" s="240"/>
      <c r="AO247" s="240"/>
      <c r="AP247" s="240"/>
      <c r="AQ247" s="238"/>
      <c r="AR247" s="240"/>
      <c r="AS247" s="240"/>
      <c r="AT247" s="240"/>
      <c r="AU247" s="240"/>
      <c r="AV247" s="240"/>
      <c r="AW247" s="240"/>
      <c r="AX247" s="240"/>
      <c r="AY247" s="240"/>
      <c r="AZ247" s="238"/>
      <c r="BA247" s="240"/>
      <c r="BB247" s="240"/>
      <c r="BC247" s="240"/>
      <c r="BD247" s="240"/>
      <c r="BE247" s="240"/>
      <c r="BF247" s="240"/>
      <c r="BG247" s="240"/>
      <c r="BH247" s="240"/>
      <c r="BI247" s="240"/>
      <c r="BJ247" s="240"/>
      <c r="BK247" s="240"/>
      <c r="BL247" s="240"/>
      <c r="BM247" s="240"/>
      <c r="BN247" s="240"/>
      <c r="BO247" s="240"/>
      <c r="BP247" s="238"/>
      <c r="BQ247" s="240"/>
      <c r="BR247" s="240"/>
      <c r="BS247" s="240"/>
      <c r="BT247" s="240"/>
      <c r="BU247" s="240"/>
      <c r="BV247" s="240"/>
      <c r="BW247" s="240"/>
      <c r="BX247" s="240"/>
      <c r="BY247" s="240"/>
      <c r="BZ247" s="240"/>
      <c r="CA247" s="240"/>
      <c r="CB247" s="240"/>
      <c r="CC247" s="240"/>
      <c r="CD247" s="240"/>
      <c r="CE247" s="240"/>
      <c r="CF247" s="238"/>
      <c r="CG247" s="240"/>
      <c r="CH247" s="240"/>
      <c r="CI247" s="240"/>
      <c r="CJ247" s="240"/>
      <c r="CK247" s="240"/>
      <c r="CL247" s="240"/>
      <c r="CM247" s="240"/>
      <c r="CN247" s="240"/>
      <c r="CO247" s="240"/>
      <c r="CP247" s="240"/>
      <c r="CQ247" s="240"/>
      <c r="CR247" s="240"/>
      <c r="CS247" s="238"/>
      <c r="CT247" s="240"/>
      <c r="CU247" s="240"/>
      <c r="CV247" s="240"/>
      <c r="CW247" s="240"/>
      <c r="CX247" s="240"/>
      <c r="CY247" s="240"/>
      <c r="CZ247" s="240"/>
      <c r="DA247" s="240"/>
      <c r="DB247" s="240"/>
      <c r="DC247" s="240"/>
      <c r="DD247" s="240"/>
      <c r="DE247" s="240"/>
      <c r="DF247" s="238"/>
      <c r="DG247" s="240"/>
      <c r="DH247" s="240"/>
      <c r="DI247" s="240"/>
      <c r="DJ247" s="240"/>
      <c r="DK247" s="240"/>
      <c r="DL247" s="240"/>
      <c r="DM247" s="240"/>
      <c r="DN247" s="240"/>
      <c r="DO247" s="240"/>
      <c r="DP247" s="240"/>
      <c r="DQ247" s="240"/>
      <c r="DR247" s="238"/>
      <c r="DS247" s="240"/>
      <c r="DT247" s="240"/>
      <c r="DU247" s="240"/>
      <c r="DV247" s="238"/>
      <c r="DW247" s="240"/>
      <c r="DX247" s="240"/>
      <c r="DY247" s="240"/>
      <c r="DZ247" s="240"/>
      <c r="EA247" s="240"/>
      <c r="EB247" s="240"/>
      <c r="EC247" s="240"/>
      <c r="ED247" s="240"/>
      <c r="EE247" s="240"/>
      <c r="EF247" s="238"/>
      <c r="EG247" s="240"/>
      <c r="EH247" s="240"/>
      <c r="EI247" s="240"/>
      <c r="EJ247" s="238"/>
      <c r="EK247" s="240"/>
      <c r="EL247" s="238"/>
      <c r="EM247" s="240"/>
      <c r="EN247" s="240"/>
      <c r="EO247" s="240"/>
      <c r="EP247" s="240"/>
      <c r="EQ247" s="240"/>
      <c r="ER247" s="240" t="s">
        <v>890</v>
      </c>
      <c r="ES247" s="240"/>
      <c r="ET247" s="240"/>
      <c r="EU247" s="240"/>
      <c r="EV247" s="240"/>
      <c r="EW247" s="240"/>
      <c r="EX247" s="238"/>
      <c r="EY247" s="240"/>
      <c r="EZ247" s="240"/>
      <c r="FA247" s="240"/>
      <c r="FB247" s="240"/>
      <c r="FC247" s="240"/>
      <c r="FD247" s="240"/>
      <c r="FE247" s="240"/>
      <c r="FF247" s="240"/>
      <c r="FG247" s="240"/>
      <c r="FH247" s="240"/>
      <c r="FI247" s="240"/>
      <c r="FJ247" s="240"/>
      <c r="FK247" s="240"/>
      <c r="FL247" s="240" t="s">
        <v>890</v>
      </c>
      <c r="FM247" s="240"/>
      <c r="FN247" s="240" t="s">
        <v>890</v>
      </c>
      <c r="FO247" s="238"/>
      <c r="FP247" s="240"/>
      <c r="FQ247" s="240" t="s">
        <v>890</v>
      </c>
      <c r="FR247" s="240" t="s">
        <v>890</v>
      </c>
      <c r="FS247" s="240"/>
      <c r="FT247" s="240"/>
      <c r="FU247" s="240"/>
      <c r="FV247" s="240"/>
      <c r="FW247" s="240"/>
      <c r="FX247" s="240"/>
      <c r="FY247" s="240"/>
      <c r="FZ247" s="238"/>
      <c r="GA247" s="240"/>
      <c r="GB247" s="240"/>
      <c r="GC247" s="238"/>
      <c r="GD247" s="240"/>
      <c r="GE247" s="240"/>
      <c r="GF247" s="240"/>
      <c r="GG247" s="240"/>
      <c r="GH247" s="238"/>
      <c r="GI247" s="240"/>
      <c r="GJ247" s="240"/>
      <c r="GK247" s="240"/>
      <c r="GL247" s="240"/>
      <c r="GM247" s="238"/>
      <c r="GN247" s="240"/>
      <c r="GO247" s="240"/>
      <c r="GP247" s="240"/>
      <c r="GQ247" s="240"/>
      <c r="GR247" s="240"/>
      <c r="GS247" s="240"/>
      <c r="GT247" s="240"/>
      <c r="GU247" s="240"/>
      <c r="GV247" s="240"/>
      <c r="GW247" s="240"/>
      <c r="GX247" s="240"/>
      <c r="GY247" s="240"/>
      <c r="GZ247" s="240"/>
      <c r="HA247" s="240"/>
      <c r="HB247" s="240"/>
      <c r="HC247" s="240"/>
      <c r="HD247" s="238"/>
      <c r="HE247" s="240"/>
      <c r="HF247" s="240"/>
      <c r="HG247" s="240"/>
      <c r="HH247" s="240"/>
      <c r="HI247" s="240"/>
      <c r="HJ247" s="238"/>
      <c r="HK247" s="240"/>
      <c r="HL247" s="238"/>
      <c r="HM247" s="241"/>
      <c r="HN247" s="235"/>
      <c r="HO247" s="235"/>
      <c r="HP247" s="235"/>
      <c r="HQ247" s="235"/>
    </row>
    <row r="248" spans="2:225" hidden="1" outlineLevel="1">
      <c r="B248" s="303" t="s">
        <v>1294</v>
      </c>
      <c r="C248" s="252" t="str">
        <f>IF(AND(OR(F6='3. Dropdowns'!C21,F6='3. Dropdowns'!C22,F6='3. Dropdowns'!C24,F6='3. Dropdowns'!C27),NOT(OR(E190='3. Dropdowns'!C191,E190=""))),"Hide","Show")</f>
        <v>Show</v>
      </c>
      <c r="D248" s="236" t="s">
        <v>3320</v>
      </c>
      <c r="E248" s="248"/>
      <c r="F248" s="284" t="str">
        <f>IF(E248='3. Dropdowns'!C336,"","Submittals, Products, Execution")</f>
        <v>Submittals, Products, Execution</v>
      </c>
      <c r="G248" s="230"/>
      <c r="H248" s="238"/>
      <c r="I248" s="239" t="s">
        <v>890</v>
      </c>
      <c r="J248" s="240" t="s">
        <v>890</v>
      </c>
      <c r="K248" s="240"/>
      <c r="L248" s="240"/>
      <c r="M248" s="240"/>
      <c r="N248" s="240"/>
      <c r="O248" s="240"/>
      <c r="P248" s="240"/>
      <c r="Q248" s="240"/>
      <c r="R248" s="240"/>
      <c r="S248" s="240"/>
      <c r="T248" s="240" t="s">
        <v>890</v>
      </c>
      <c r="U248" s="240"/>
      <c r="V248" s="240"/>
      <c r="W248" s="240"/>
      <c r="X248" s="238"/>
      <c r="Y248" s="240"/>
      <c r="Z248" s="240"/>
      <c r="AA248" s="240"/>
      <c r="AB248" s="240"/>
      <c r="AC248" s="240"/>
      <c r="AD248" s="240"/>
      <c r="AE248" s="240"/>
      <c r="AF248" s="240"/>
      <c r="AG248" s="240"/>
      <c r="AH248" s="238"/>
      <c r="AI248" s="240"/>
      <c r="AJ248" s="240"/>
      <c r="AK248" s="240"/>
      <c r="AL248" s="240"/>
      <c r="AM248" s="238"/>
      <c r="AN248" s="240"/>
      <c r="AO248" s="240"/>
      <c r="AP248" s="240"/>
      <c r="AQ248" s="238"/>
      <c r="AR248" s="240"/>
      <c r="AS248" s="240"/>
      <c r="AT248" s="240"/>
      <c r="AU248" s="240"/>
      <c r="AV248" s="240"/>
      <c r="AW248" s="240"/>
      <c r="AX248" s="240"/>
      <c r="AY248" s="240"/>
      <c r="AZ248" s="238"/>
      <c r="BA248" s="240"/>
      <c r="BB248" s="240"/>
      <c r="BC248" s="240"/>
      <c r="BD248" s="240"/>
      <c r="BE248" s="240"/>
      <c r="BF248" s="240"/>
      <c r="BG248" s="240"/>
      <c r="BH248" s="240"/>
      <c r="BI248" s="240"/>
      <c r="BJ248" s="240"/>
      <c r="BK248" s="240"/>
      <c r="BL248" s="240"/>
      <c r="BM248" s="240"/>
      <c r="BN248" s="240"/>
      <c r="BO248" s="240"/>
      <c r="BP248" s="238"/>
      <c r="BQ248" s="240"/>
      <c r="BR248" s="240"/>
      <c r="BS248" s="240"/>
      <c r="BT248" s="240"/>
      <c r="BU248" s="240"/>
      <c r="BV248" s="240"/>
      <c r="BW248" s="240"/>
      <c r="BX248" s="240"/>
      <c r="BY248" s="240"/>
      <c r="BZ248" s="240"/>
      <c r="CA248" s="240"/>
      <c r="CB248" s="240"/>
      <c r="CC248" s="240"/>
      <c r="CD248" s="240"/>
      <c r="CE248" s="240"/>
      <c r="CF248" s="238"/>
      <c r="CG248" s="240"/>
      <c r="CH248" s="240"/>
      <c r="CI248" s="240"/>
      <c r="CJ248" s="240"/>
      <c r="CK248" s="240"/>
      <c r="CL248" s="240"/>
      <c r="CM248" s="240"/>
      <c r="CN248" s="240"/>
      <c r="CO248" s="240"/>
      <c r="CP248" s="240"/>
      <c r="CQ248" s="240"/>
      <c r="CR248" s="240"/>
      <c r="CS248" s="238"/>
      <c r="CT248" s="240"/>
      <c r="CU248" s="240"/>
      <c r="CV248" s="240"/>
      <c r="CW248" s="240"/>
      <c r="CX248" s="240"/>
      <c r="CY248" s="240"/>
      <c r="CZ248" s="240"/>
      <c r="DA248" s="240"/>
      <c r="DB248" s="240"/>
      <c r="DC248" s="240"/>
      <c r="DD248" s="240"/>
      <c r="DE248" s="240"/>
      <c r="DF248" s="238"/>
      <c r="DG248" s="240"/>
      <c r="DH248" s="240"/>
      <c r="DI248" s="240"/>
      <c r="DJ248" s="240"/>
      <c r="DK248" s="240"/>
      <c r="DL248" s="240"/>
      <c r="DM248" s="240"/>
      <c r="DN248" s="240"/>
      <c r="DO248" s="240"/>
      <c r="DP248" s="240"/>
      <c r="DQ248" s="240"/>
      <c r="DR248" s="238"/>
      <c r="DS248" s="240"/>
      <c r="DT248" s="240"/>
      <c r="DU248" s="240"/>
      <c r="DV248" s="238"/>
      <c r="DW248" s="240"/>
      <c r="DX248" s="240"/>
      <c r="DY248" s="240"/>
      <c r="DZ248" s="240"/>
      <c r="EA248" s="240"/>
      <c r="EB248" s="240"/>
      <c r="EC248" s="240"/>
      <c r="ED248" s="240"/>
      <c r="EE248" s="240"/>
      <c r="EF248" s="238"/>
      <c r="EG248" s="240"/>
      <c r="EH248" s="240"/>
      <c r="EI248" s="240"/>
      <c r="EJ248" s="238"/>
      <c r="EK248" s="240"/>
      <c r="EL248" s="238"/>
      <c r="EM248" s="240"/>
      <c r="EN248" s="240"/>
      <c r="EO248" s="240"/>
      <c r="EP248" s="240"/>
      <c r="EQ248" s="240"/>
      <c r="ER248" s="240" t="s">
        <v>890</v>
      </c>
      <c r="ES248" s="240"/>
      <c r="ET248" s="240"/>
      <c r="EU248" s="240"/>
      <c r="EV248" s="240"/>
      <c r="EW248" s="240"/>
      <c r="EX248" s="238"/>
      <c r="EY248" s="240"/>
      <c r="EZ248" s="240"/>
      <c r="FA248" s="240"/>
      <c r="FB248" s="240"/>
      <c r="FC248" s="240"/>
      <c r="FD248" s="240"/>
      <c r="FE248" s="240"/>
      <c r="FF248" s="240"/>
      <c r="FG248" s="240"/>
      <c r="FH248" s="240"/>
      <c r="FI248" s="240"/>
      <c r="FJ248" s="240"/>
      <c r="FK248" s="240"/>
      <c r="FL248" s="240" t="s">
        <v>890</v>
      </c>
      <c r="FM248" s="240"/>
      <c r="FN248" s="240" t="s">
        <v>890</v>
      </c>
      <c r="FO248" s="238"/>
      <c r="FP248" s="240"/>
      <c r="FQ248" s="240" t="s">
        <v>890</v>
      </c>
      <c r="FR248" s="240" t="s">
        <v>890</v>
      </c>
      <c r="FS248" s="240"/>
      <c r="FT248" s="240"/>
      <c r="FU248" s="240"/>
      <c r="FV248" s="240"/>
      <c r="FW248" s="240"/>
      <c r="FX248" s="240"/>
      <c r="FY248" s="240"/>
      <c r="FZ248" s="238"/>
      <c r="GA248" s="240"/>
      <c r="GB248" s="240"/>
      <c r="GC248" s="238"/>
      <c r="GD248" s="240"/>
      <c r="GE248" s="240"/>
      <c r="GF248" s="240"/>
      <c r="GG248" s="240"/>
      <c r="GH248" s="238"/>
      <c r="GI248" s="240"/>
      <c r="GJ248" s="240"/>
      <c r="GK248" s="240"/>
      <c r="GL248" s="240"/>
      <c r="GM248" s="238"/>
      <c r="GN248" s="240"/>
      <c r="GO248" s="240"/>
      <c r="GP248" s="240"/>
      <c r="GQ248" s="240"/>
      <c r="GR248" s="240"/>
      <c r="GS248" s="240"/>
      <c r="GT248" s="240"/>
      <c r="GU248" s="240"/>
      <c r="GV248" s="240"/>
      <c r="GW248" s="240"/>
      <c r="GX248" s="240"/>
      <c r="GY248" s="240"/>
      <c r="GZ248" s="240"/>
      <c r="HA248" s="240"/>
      <c r="HB248" s="240"/>
      <c r="HC248" s="240"/>
      <c r="HD248" s="238"/>
      <c r="HE248" s="240"/>
      <c r="HF248" s="240"/>
      <c r="HG248" s="240"/>
      <c r="HH248" s="240"/>
      <c r="HI248" s="240"/>
      <c r="HJ248" s="238"/>
      <c r="HK248" s="240"/>
      <c r="HL248" s="238"/>
      <c r="HM248" s="241"/>
      <c r="HN248" s="235"/>
      <c r="HO248" s="235"/>
      <c r="HP248" s="235"/>
      <c r="HQ248" s="235"/>
    </row>
    <row r="249" spans="2:225" ht="37.5" hidden="1" outlineLevel="1">
      <c r="B249" s="303" t="s">
        <v>748</v>
      </c>
      <c r="C249" s="252" t="str">
        <f>IF(OR(D5='3. Dropdowns'!C8,D5='3. Dropdowns'!C9),"Hide","Show")</f>
        <v>Show</v>
      </c>
      <c r="D249" s="236" t="s">
        <v>3321</v>
      </c>
      <c r="E249" s="248"/>
      <c r="F249" s="284" t="s">
        <v>540</v>
      </c>
      <c r="G249" s="230"/>
      <c r="H249" s="238"/>
      <c r="I249" s="239"/>
      <c r="J249" s="240"/>
      <c r="K249" s="240"/>
      <c r="L249" s="240"/>
      <c r="M249" s="240"/>
      <c r="N249" s="240"/>
      <c r="O249" s="240"/>
      <c r="P249" s="240"/>
      <c r="Q249" s="240"/>
      <c r="R249" s="240"/>
      <c r="S249" s="240"/>
      <c r="T249" s="240" t="s">
        <v>890</v>
      </c>
      <c r="U249" s="240"/>
      <c r="V249" s="240"/>
      <c r="W249" s="240"/>
      <c r="X249" s="238"/>
      <c r="Y249" s="240"/>
      <c r="Z249" s="240"/>
      <c r="AA249" s="240"/>
      <c r="AB249" s="240"/>
      <c r="AC249" s="240"/>
      <c r="AD249" s="240"/>
      <c r="AE249" s="240"/>
      <c r="AF249" s="240"/>
      <c r="AG249" s="240"/>
      <c r="AH249" s="238"/>
      <c r="AI249" s="240"/>
      <c r="AJ249" s="240" t="s">
        <v>890</v>
      </c>
      <c r="AK249" s="240" t="s">
        <v>890</v>
      </c>
      <c r="AL249" s="240" t="s">
        <v>890</v>
      </c>
      <c r="AM249" s="238"/>
      <c r="AN249" s="240"/>
      <c r="AO249" s="240"/>
      <c r="AP249" s="240"/>
      <c r="AQ249" s="238"/>
      <c r="AR249" s="240"/>
      <c r="AS249" s="240"/>
      <c r="AT249" s="240"/>
      <c r="AU249" s="240"/>
      <c r="AV249" s="240"/>
      <c r="AW249" s="240"/>
      <c r="AX249" s="240"/>
      <c r="AY249" s="240"/>
      <c r="AZ249" s="238"/>
      <c r="BA249" s="240"/>
      <c r="BB249" s="240"/>
      <c r="BC249" s="240"/>
      <c r="BD249" s="240"/>
      <c r="BE249" s="240"/>
      <c r="BF249" s="240"/>
      <c r="BG249" s="240"/>
      <c r="BH249" s="240"/>
      <c r="BI249" s="240"/>
      <c r="BJ249" s="240"/>
      <c r="BK249" s="240"/>
      <c r="BL249" s="240"/>
      <c r="BM249" s="240"/>
      <c r="BN249" s="240"/>
      <c r="BO249" s="240"/>
      <c r="BP249" s="238"/>
      <c r="BQ249" s="240" t="s">
        <v>890</v>
      </c>
      <c r="BR249" s="240"/>
      <c r="BS249" s="240"/>
      <c r="BT249" s="240" t="s">
        <v>890</v>
      </c>
      <c r="BU249" s="240" t="s">
        <v>890</v>
      </c>
      <c r="BV249" s="240"/>
      <c r="BW249" s="240"/>
      <c r="BX249" s="240" t="s">
        <v>890</v>
      </c>
      <c r="BY249" s="240" t="s">
        <v>890</v>
      </c>
      <c r="BZ249" s="240"/>
      <c r="CA249" s="240"/>
      <c r="CB249" s="240" t="s">
        <v>890</v>
      </c>
      <c r="CC249" s="240" t="s">
        <v>890</v>
      </c>
      <c r="CD249" s="240"/>
      <c r="CE249" s="240"/>
      <c r="CF249" s="238"/>
      <c r="CG249" s="240" t="s">
        <v>890</v>
      </c>
      <c r="CH249" s="240"/>
      <c r="CI249" s="240"/>
      <c r="CJ249" s="240"/>
      <c r="CK249" s="240"/>
      <c r="CL249" s="240"/>
      <c r="CM249" s="240" t="s">
        <v>890</v>
      </c>
      <c r="CN249" s="240" t="s">
        <v>890</v>
      </c>
      <c r="CO249" s="240"/>
      <c r="CP249" s="240"/>
      <c r="CQ249" s="240"/>
      <c r="CR249" s="240"/>
      <c r="CS249" s="238"/>
      <c r="CT249" s="240"/>
      <c r="CU249" s="240"/>
      <c r="CV249" s="240"/>
      <c r="CW249" s="240"/>
      <c r="CX249" s="240"/>
      <c r="CY249" s="240"/>
      <c r="CZ249" s="240"/>
      <c r="DA249" s="240"/>
      <c r="DB249" s="240"/>
      <c r="DC249" s="240"/>
      <c r="DD249" s="240"/>
      <c r="DE249" s="240"/>
      <c r="DF249" s="238"/>
      <c r="DG249" s="240"/>
      <c r="DH249" s="240"/>
      <c r="DI249" s="240"/>
      <c r="DJ249" s="240"/>
      <c r="DK249" s="240"/>
      <c r="DL249" s="240"/>
      <c r="DM249" s="240"/>
      <c r="DN249" s="240"/>
      <c r="DO249" s="240"/>
      <c r="DP249" s="240"/>
      <c r="DQ249" s="240"/>
      <c r="DR249" s="238"/>
      <c r="DS249" s="240"/>
      <c r="DT249" s="240"/>
      <c r="DU249" s="240"/>
      <c r="DV249" s="238"/>
      <c r="DW249" s="240"/>
      <c r="DX249" s="240"/>
      <c r="DY249" s="240"/>
      <c r="DZ249" s="240"/>
      <c r="EA249" s="240"/>
      <c r="EB249" s="240"/>
      <c r="EC249" s="240"/>
      <c r="ED249" s="240"/>
      <c r="EE249" s="240"/>
      <c r="EF249" s="238"/>
      <c r="EG249" s="240"/>
      <c r="EH249" s="240"/>
      <c r="EI249" s="240"/>
      <c r="EJ249" s="238"/>
      <c r="EK249" s="240"/>
      <c r="EL249" s="238"/>
      <c r="EM249" s="240"/>
      <c r="EN249" s="240"/>
      <c r="EO249" s="240"/>
      <c r="EP249" s="240"/>
      <c r="EQ249" s="240"/>
      <c r="ER249" s="240"/>
      <c r="ES249" s="240"/>
      <c r="ET249" s="240"/>
      <c r="EU249" s="240"/>
      <c r="EV249" s="240"/>
      <c r="EW249" s="240"/>
      <c r="EX249" s="238"/>
      <c r="EY249" s="240"/>
      <c r="EZ249" s="240"/>
      <c r="FA249" s="240"/>
      <c r="FB249" s="240"/>
      <c r="FC249" s="240"/>
      <c r="FD249" s="240"/>
      <c r="FE249" s="240"/>
      <c r="FF249" s="240"/>
      <c r="FG249" s="240"/>
      <c r="FH249" s="240"/>
      <c r="FI249" s="240"/>
      <c r="FJ249" s="240"/>
      <c r="FK249" s="240"/>
      <c r="FL249" s="240"/>
      <c r="FM249" s="240"/>
      <c r="FN249" s="240"/>
      <c r="FO249" s="238"/>
      <c r="FP249" s="240"/>
      <c r="FQ249" s="240"/>
      <c r="FR249" s="240"/>
      <c r="FS249" s="240"/>
      <c r="FT249" s="240"/>
      <c r="FU249" s="240"/>
      <c r="FV249" s="240"/>
      <c r="FW249" s="240"/>
      <c r="FX249" s="240"/>
      <c r="FY249" s="240"/>
      <c r="FZ249" s="238"/>
      <c r="GA249" s="240"/>
      <c r="GB249" s="240"/>
      <c r="GC249" s="238"/>
      <c r="GD249" s="240"/>
      <c r="GE249" s="240"/>
      <c r="GF249" s="240"/>
      <c r="GG249" s="240"/>
      <c r="GH249" s="238"/>
      <c r="GI249" s="240"/>
      <c r="GJ249" s="240"/>
      <c r="GK249" s="240"/>
      <c r="GL249" s="240"/>
      <c r="GM249" s="238"/>
      <c r="GN249" s="240"/>
      <c r="GO249" s="240"/>
      <c r="GP249" s="240"/>
      <c r="GQ249" s="240"/>
      <c r="GR249" s="240"/>
      <c r="GS249" s="240"/>
      <c r="GT249" s="240"/>
      <c r="GU249" s="240"/>
      <c r="GV249" s="240"/>
      <c r="GW249" s="240"/>
      <c r="GX249" s="240"/>
      <c r="GY249" s="240"/>
      <c r="GZ249" s="240"/>
      <c r="HA249" s="240"/>
      <c r="HB249" s="240"/>
      <c r="HC249" s="240"/>
      <c r="HD249" s="238"/>
      <c r="HE249" s="240"/>
      <c r="HF249" s="240"/>
      <c r="HG249" s="240"/>
      <c r="HH249" s="240"/>
      <c r="HI249" s="240"/>
      <c r="HJ249" s="238"/>
      <c r="HK249" s="240"/>
      <c r="HL249" s="238"/>
      <c r="HM249" s="241"/>
      <c r="HN249" s="235"/>
      <c r="HO249" s="235"/>
      <c r="HP249" s="235"/>
      <c r="HQ249" s="235"/>
    </row>
    <row r="250" spans="2:225" ht="20.100000000000001" hidden="1" customHeight="1" outlineLevel="1">
      <c r="B250" s="303" t="s">
        <v>1323</v>
      </c>
      <c r="C250" s="252" t="str">
        <f>IF(D5='3. Dropdowns'!C7,"Hide","Show")</f>
        <v>Show</v>
      </c>
      <c r="D250" s="236" t="s">
        <v>3322</v>
      </c>
      <c r="E250" s="237"/>
      <c r="F250" s="284" t="s">
        <v>539</v>
      </c>
      <c r="G250" s="230"/>
      <c r="H250" s="238"/>
      <c r="I250" s="239"/>
      <c r="J250" s="240"/>
      <c r="K250" s="240"/>
      <c r="L250" s="240"/>
      <c r="M250" s="240"/>
      <c r="N250" s="240"/>
      <c r="O250" s="240"/>
      <c r="P250" s="240"/>
      <c r="Q250" s="240"/>
      <c r="R250" s="240"/>
      <c r="S250" s="240"/>
      <c r="T250" s="240" t="s">
        <v>890</v>
      </c>
      <c r="U250" s="240"/>
      <c r="V250" s="240"/>
      <c r="W250" s="240"/>
      <c r="X250" s="238"/>
      <c r="Y250" s="240"/>
      <c r="Z250" s="240" t="s">
        <v>890</v>
      </c>
      <c r="AA250" s="240"/>
      <c r="AB250" s="240"/>
      <c r="AC250" s="240"/>
      <c r="AD250" s="240"/>
      <c r="AE250" s="240"/>
      <c r="AF250" s="240"/>
      <c r="AG250" s="240"/>
      <c r="AH250" s="238"/>
      <c r="AI250" s="240"/>
      <c r="AJ250" s="240"/>
      <c r="AK250" s="240"/>
      <c r="AL250" s="240"/>
      <c r="AM250" s="238"/>
      <c r="AN250" s="240"/>
      <c r="AO250" s="240"/>
      <c r="AP250" s="240"/>
      <c r="AQ250" s="238"/>
      <c r="AR250" s="240"/>
      <c r="AS250" s="240"/>
      <c r="AT250" s="240"/>
      <c r="AU250" s="240"/>
      <c r="AV250" s="240"/>
      <c r="AW250" s="240"/>
      <c r="AX250" s="240"/>
      <c r="AY250" s="240"/>
      <c r="AZ250" s="238"/>
      <c r="BA250" s="240"/>
      <c r="BB250" s="240"/>
      <c r="BC250" s="240"/>
      <c r="BD250" s="240"/>
      <c r="BE250" s="240"/>
      <c r="BF250" s="240"/>
      <c r="BG250" s="240"/>
      <c r="BH250" s="240"/>
      <c r="BI250" s="240"/>
      <c r="BJ250" s="240"/>
      <c r="BK250" s="240"/>
      <c r="BL250" s="240"/>
      <c r="BM250" s="240"/>
      <c r="BN250" s="240"/>
      <c r="BO250" s="240"/>
      <c r="BP250" s="238"/>
      <c r="BQ250" s="240" t="s">
        <v>890</v>
      </c>
      <c r="BR250" s="240"/>
      <c r="BS250" s="240"/>
      <c r="BT250" s="240" t="s">
        <v>890</v>
      </c>
      <c r="BU250" s="240" t="s">
        <v>890</v>
      </c>
      <c r="BV250" s="240"/>
      <c r="BW250" s="240"/>
      <c r="BX250" s="240" t="s">
        <v>890</v>
      </c>
      <c r="BY250" s="240" t="s">
        <v>890</v>
      </c>
      <c r="BZ250" s="240"/>
      <c r="CA250" s="240"/>
      <c r="CB250" s="240" t="s">
        <v>890</v>
      </c>
      <c r="CC250" s="240" t="s">
        <v>890</v>
      </c>
      <c r="CD250" s="240"/>
      <c r="CE250" s="240"/>
      <c r="CF250" s="238"/>
      <c r="CG250" s="240" t="s">
        <v>890</v>
      </c>
      <c r="CH250" s="240"/>
      <c r="CI250" s="240"/>
      <c r="CJ250" s="240"/>
      <c r="CK250" s="240"/>
      <c r="CL250" s="240"/>
      <c r="CM250" s="240" t="s">
        <v>890</v>
      </c>
      <c r="CN250" s="240" t="s">
        <v>890</v>
      </c>
      <c r="CO250" s="240"/>
      <c r="CP250" s="240"/>
      <c r="CQ250" s="240"/>
      <c r="CR250" s="240"/>
      <c r="CS250" s="238"/>
      <c r="CT250" s="240"/>
      <c r="CU250" s="240"/>
      <c r="CV250" s="240"/>
      <c r="CW250" s="240"/>
      <c r="CX250" s="240"/>
      <c r="CY250" s="240"/>
      <c r="CZ250" s="240"/>
      <c r="DA250" s="240"/>
      <c r="DB250" s="240"/>
      <c r="DC250" s="240"/>
      <c r="DD250" s="240"/>
      <c r="DE250" s="240"/>
      <c r="DF250" s="238"/>
      <c r="DG250" s="240"/>
      <c r="DH250" s="240"/>
      <c r="DI250" s="240"/>
      <c r="DJ250" s="240"/>
      <c r="DK250" s="240"/>
      <c r="DL250" s="240"/>
      <c r="DM250" s="240"/>
      <c r="DN250" s="240"/>
      <c r="DO250" s="240"/>
      <c r="DP250" s="240"/>
      <c r="DQ250" s="240"/>
      <c r="DR250" s="238"/>
      <c r="DS250" s="240"/>
      <c r="DT250" s="240"/>
      <c r="DU250" s="240"/>
      <c r="DV250" s="238"/>
      <c r="DW250" s="240"/>
      <c r="DX250" s="240"/>
      <c r="DY250" s="240"/>
      <c r="DZ250" s="240"/>
      <c r="EA250" s="240"/>
      <c r="EB250" s="240"/>
      <c r="EC250" s="240"/>
      <c r="ED250" s="240"/>
      <c r="EE250" s="240"/>
      <c r="EF250" s="238"/>
      <c r="EG250" s="240"/>
      <c r="EH250" s="240"/>
      <c r="EI250" s="240"/>
      <c r="EJ250" s="238"/>
      <c r="EK250" s="240"/>
      <c r="EL250" s="238"/>
      <c r="EM250" s="240"/>
      <c r="EN250" s="240"/>
      <c r="EO250" s="240"/>
      <c r="EP250" s="240"/>
      <c r="EQ250" s="240"/>
      <c r="ER250" s="240"/>
      <c r="ES250" s="240"/>
      <c r="ET250" s="240"/>
      <c r="EU250" s="240"/>
      <c r="EV250" s="240"/>
      <c r="EW250" s="240"/>
      <c r="EX250" s="238"/>
      <c r="EY250" s="240"/>
      <c r="EZ250" s="240"/>
      <c r="FA250" s="240"/>
      <c r="FB250" s="240"/>
      <c r="FC250" s="240"/>
      <c r="FD250" s="240"/>
      <c r="FE250" s="240"/>
      <c r="FF250" s="240"/>
      <c r="FG250" s="240"/>
      <c r="FH250" s="240"/>
      <c r="FI250" s="240"/>
      <c r="FJ250" s="240"/>
      <c r="FK250" s="240"/>
      <c r="FL250" s="240"/>
      <c r="FM250" s="240"/>
      <c r="FN250" s="240"/>
      <c r="FO250" s="238"/>
      <c r="FP250" s="240"/>
      <c r="FQ250" s="240"/>
      <c r="FR250" s="240"/>
      <c r="FS250" s="240"/>
      <c r="FT250" s="240"/>
      <c r="FU250" s="240"/>
      <c r="FV250" s="240"/>
      <c r="FW250" s="240"/>
      <c r="FX250" s="240"/>
      <c r="FY250" s="240"/>
      <c r="FZ250" s="238"/>
      <c r="GA250" s="240"/>
      <c r="GB250" s="240"/>
      <c r="GC250" s="238"/>
      <c r="GD250" s="240"/>
      <c r="GE250" s="240"/>
      <c r="GF250" s="240"/>
      <c r="GG250" s="240"/>
      <c r="GH250" s="238"/>
      <c r="GI250" s="240"/>
      <c r="GJ250" s="240"/>
      <c r="GK250" s="240"/>
      <c r="GL250" s="240"/>
      <c r="GM250" s="238"/>
      <c r="GN250" s="240"/>
      <c r="GO250" s="240"/>
      <c r="GP250" s="240"/>
      <c r="GQ250" s="240"/>
      <c r="GR250" s="240"/>
      <c r="GS250" s="240"/>
      <c r="GT250" s="240"/>
      <c r="GU250" s="240"/>
      <c r="GV250" s="240"/>
      <c r="GW250" s="240"/>
      <c r="GX250" s="240"/>
      <c r="GY250" s="240"/>
      <c r="GZ250" s="240"/>
      <c r="HA250" s="240"/>
      <c r="HB250" s="240"/>
      <c r="HC250" s="240"/>
      <c r="HD250" s="238"/>
      <c r="HE250" s="240"/>
      <c r="HF250" s="240"/>
      <c r="HG250" s="240"/>
      <c r="HH250" s="240"/>
      <c r="HI250" s="240"/>
      <c r="HJ250" s="238"/>
      <c r="HK250" s="240"/>
      <c r="HL250" s="238"/>
      <c r="HM250" s="241"/>
      <c r="HN250" s="235"/>
      <c r="HO250" s="235"/>
      <c r="HP250" s="235"/>
      <c r="HQ250" s="235"/>
    </row>
    <row r="251" spans="2:225" ht="23.1" hidden="1" customHeight="1" outlineLevel="1">
      <c r="B251" s="303" t="s">
        <v>1246</v>
      </c>
      <c r="C251" s="252" t="str">
        <f>IF(D5='3. Dropdowns'!C9,"Hide","Show")</f>
        <v>Show</v>
      </c>
      <c r="D251" s="236" t="s">
        <v>3323</v>
      </c>
      <c r="E251" s="237"/>
      <c r="F251" s="284" t="s">
        <v>540</v>
      </c>
      <c r="G251" s="230"/>
      <c r="H251" s="238"/>
      <c r="I251" s="239" t="s">
        <v>890</v>
      </c>
      <c r="J251" s="240"/>
      <c r="K251" s="240"/>
      <c r="L251" s="240"/>
      <c r="M251" s="240"/>
      <c r="N251" s="240"/>
      <c r="O251" s="240"/>
      <c r="P251" s="240"/>
      <c r="Q251" s="240"/>
      <c r="R251" s="240"/>
      <c r="S251" s="240"/>
      <c r="T251" s="240" t="s">
        <v>890</v>
      </c>
      <c r="U251" s="240"/>
      <c r="V251" s="240"/>
      <c r="W251" s="240"/>
      <c r="X251" s="238"/>
      <c r="Y251" s="240"/>
      <c r="Z251" s="240"/>
      <c r="AA251" s="240"/>
      <c r="AB251" s="240"/>
      <c r="AC251" s="240"/>
      <c r="AD251" s="240"/>
      <c r="AE251" s="240"/>
      <c r="AF251" s="240"/>
      <c r="AG251" s="240"/>
      <c r="AH251" s="238"/>
      <c r="AI251" s="240"/>
      <c r="AJ251" s="240"/>
      <c r="AK251" s="240"/>
      <c r="AL251" s="240"/>
      <c r="AM251" s="238"/>
      <c r="AN251" s="240"/>
      <c r="AO251" s="240"/>
      <c r="AP251" s="240"/>
      <c r="AQ251" s="238"/>
      <c r="AR251" s="240"/>
      <c r="AS251" s="240"/>
      <c r="AT251" s="240"/>
      <c r="AU251" s="240"/>
      <c r="AV251" s="240"/>
      <c r="AW251" s="240"/>
      <c r="AX251" s="240"/>
      <c r="AY251" s="240"/>
      <c r="AZ251" s="238"/>
      <c r="BA251" s="240"/>
      <c r="BB251" s="240"/>
      <c r="BC251" s="240"/>
      <c r="BD251" s="240"/>
      <c r="BE251" s="240"/>
      <c r="BF251" s="240"/>
      <c r="BG251" s="240"/>
      <c r="BH251" s="240"/>
      <c r="BI251" s="240"/>
      <c r="BJ251" s="240"/>
      <c r="BK251" s="240"/>
      <c r="BL251" s="240"/>
      <c r="BM251" s="240"/>
      <c r="BN251" s="240"/>
      <c r="BO251" s="240"/>
      <c r="BP251" s="238"/>
      <c r="BQ251" s="240"/>
      <c r="BR251" s="240"/>
      <c r="BS251" s="240"/>
      <c r="BT251" s="240"/>
      <c r="BU251" s="240"/>
      <c r="BV251" s="240"/>
      <c r="BW251" s="240"/>
      <c r="BX251" s="240"/>
      <c r="BY251" s="240"/>
      <c r="BZ251" s="240"/>
      <c r="CA251" s="240"/>
      <c r="CB251" s="240"/>
      <c r="CC251" s="240"/>
      <c r="CD251" s="240"/>
      <c r="CE251" s="240"/>
      <c r="CF251" s="238"/>
      <c r="CG251" s="240"/>
      <c r="CH251" s="240"/>
      <c r="CI251" s="240"/>
      <c r="CJ251" s="240"/>
      <c r="CK251" s="240"/>
      <c r="CL251" s="240"/>
      <c r="CM251" s="240"/>
      <c r="CN251" s="240"/>
      <c r="CO251" s="240"/>
      <c r="CP251" s="240"/>
      <c r="CQ251" s="240"/>
      <c r="CR251" s="240"/>
      <c r="CS251" s="238"/>
      <c r="CT251" s="240"/>
      <c r="CU251" s="240" t="s">
        <v>890</v>
      </c>
      <c r="CV251" s="240" t="s">
        <v>890</v>
      </c>
      <c r="CW251" s="240" t="s">
        <v>890</v>
      </c>
      <c r="CX251" s="240" t="s">
        <v>890</v>
      </c>
      <c r="CY251" s="240"/>
      <c r="CZ251" s="240"/>
      <c r="DA251" s="240" t="s">
        <v>890</v>
      </c>
      <c r="DB251" s="240"/>
      <c r="DC251" s="240"/>
      <c r="DD251" s="240" t="s">
        <v>890</v>
      </c>
      <c r="DE251" s="240"/>
      <c r="DF251" s="238"/>
      <c r="DG251" s="240"/>
      <c r="DH251" s="240"/>
      <c r="DI251" s="240" t="s">
        <v>890</v>
      </c>
      <c r="DJ251" s="240"/>
      <c r="DK251" s="240"/>
      <c r="DL251" s="240"/>
      <c r="DM251" s="240"/>
      <c r="DN251" s="240"/>
      <c r="DO251" s="240"/>
      <c r="DP251" s="240"/>
      <c r="DQ251" s="240"/>
      <c r="DR251" s="238"/>
      <c r="DS251" s="240"/>
      <c r="DT251" s="240"/>
      <c r="DU251" s="240"/>
      <c r="DV251" s="238"/>
      <c r="DW251" s="240"/>
      <c r="DX251" s="240"/>
      <c r="DY251" s="240"/>
      <c r="DZ251" s="240"/>
      <c r="EA251" s="240" t="s">
        <v>890</v>
      </c>
      <c r="EB251" s="240"/>
      <c r="EC251" s="240"/>
      <c r="ED251" s="240"/>
      <c r="EE251" s="240"/>
      <c r="EF251" s="238"/>
      <c r="EG251" s="240"/>
      <c r="EH251" s="240"/>
      <c r="EI251" s="240"/>
      <c r="EJ251" s="238"/>
      <c r="EK251" s="240"/>
      <c r="EL251" s="238"/>
      <c r="EM251" s="240"/>
      <c r="EN251" s="240"/>
      <c r="EO251" s="240"/>
      <c r="EP251" s="240"/>
      <c r="EQ251" s="240"/>
      <c r="ER251" s="240"/>
      <c r="ES251" s="240"/>
      <c r="ET251" s="240"/>
      <c r="EU251" s="240"/>
      <c r="EV251" s="240"/>
      <c r="EW251" s="240"/>
      <c r="EX251" s="238"/>
      <c r="EY251" s="240"/>
      <c r="EZ251" s="240"/>
      <c r="FA251" s="240"/>
      <c r="FB251" s="240"/>
      <c r="FC251" s="240"/>
      <c r="FD251" s="240"/>
      <c r="FE251" s="240"/>
      <c r="FF251" s="240"/>
      <c r="FG251" s="240"/>
      <c r="FH251" s="240"/>
      <c r="FI251" s="240"/>
      <c r="FJ251" s="240"/>
      <c r="FK251" s="240"/>
      <c r="FL251" s="240"/>
      <c r="FM251" s="240"/>
      <c r="FN251" s="240"/>
      <c r="FO251" s="238"/>
      <c r="FP251" s="240"/>
      <c r="FQ251" s="240"/>
      <c r="FR251" s="240"/>
      <c r="FS251" s="240"/>
      <c r="FT251" s="240"/>
      <c r="FU251" s="240"/>
      <c r="FV251" s="240"/>
      <c r="FW251" s="240"/>
      <c r="FX251" s="240"/>
      <c r="FY251" s="240"/>
      <c r="FZ251" s="238"/>
      <c r="GA251" s="240"/>
      <c r="GB251" s="240"/>
      <c r="GC251" s="238"/>
      <c r="GD251" s="240"/>
      <c r="GE251" s="240"/>
      <c r="GF251" s="240"/>
      <c r="GG251" s="240"/>
      <c r="GH251" s="238"/>
      <c r="GI251" s="240"/>
      <c r="GJ251" s="240"/>
      <c r="GK251" s="240"/>
      <c r="GL251" s="240"/>
      <c r="GM251" s="238"/>
      <c r="GN251" s="240"/>
      <c r="GO251" s="240"/>
      <c r="GP251" s="240"/>
      <c r="GQ251" s="240"/>
      <c r="GR251" s="240"/>
      <c r="GS251" s="240"/>
      <c r="GT251" s="240"/>
      <c r="GU251" s="240"/>
      <c r="GV251" s="240"/>
      <c r="GW251" s="240"/>
      <c r="GX251" s="240"/>
      <c r="GY251" s="240"/>
      <c r="GZ251" s="240"/>
      <c r="HA251" s="240"/>
      <c r="HB251" s="240"/>
      <c r="HC251" s="240"/>
      <c r="HD251" s="238"/>
      <c r="HE251" s="240"/>
      <c r="HF251" s="240"/>
      <c r="HG251" s="240"/>
      <c r="HH251" s="240"/>
      <c r="HI251" s="240"/>
      <c r="HJ251" s="238"/>
      <c r="HK251" s="240"/>
      <c r="HL251" s="238"/>
      <c r="HM251" s="241"/>
      <c r="HN251" s="235"/>
      <c r="HO251" s="235"/>
      <c r="HP251" s="235"/>
      <c r="HQ251" s="235"/>
    </row>
    <row r="252" spans="2:225" ht="37.5" hidden="1" outlineLevel="1">
      <c r="B252" s="303" t="s">
        <v>1348</v>
      </c>
      <c r="C252" s="252" t="str">
        <f>IF(OR(D5='3. Dropdowns'!C8,D5='3. Dropdowns'!C7),"Hide","Show")</f>
        <v>Show</v>
      </c>
      <c r="D252" s="236" t="s">
        <v>3324</v>
      </c>
      <c r="E252" s="248"/>
      <c r="F252" s="284" t="str">
        <f>IF(E252='3. Dropdowns'!C346,"","Submittals, Products, Execution")</f>
        <v>Submittals, Products, Execution</v>
      </c>
      <c r="G252" s="230"/>
      <c r="H252" s="238"/>
      <c r="I252" s="239" t="s">
        <v>890</v>
      </c>
      <c r="J252" s="240"/>
      <c r="K252" s="240"/>
      <c r="L252" s="240"/>
      <c r="M252" s="240"/>
      <c r="N252" s="240"/>
      <c r="O252" s="240"/>
      <c r="P252" s="240"/>
      <c r="Q252" s="240"/>
      <c r="R252" s="240"/>
      <c r="S252" s="240"/>
      <c r="T252" s="240" t="s">
        <v>890</v>
      </c>
      <c r="U252" s="240"/>
      <c r="V252" s="240"/>
      <c r="W252" s="240"/>
      <c r="X252" s="238"/>
      <c r="Y252" s="240"/>
      <c r="Z252" s="240"/>
      <c r="AA252" s="240"/>
      <c r="AB252" s="240"/>
      <c r="AC252" s="240"/>
      <c r="AD252" s="240"/>
      <c r="AE252" s="240"/>
      <c r="AF252" s="240"/>
      <c r="AG252" s="240"/>
      <c r="AH252" s="238"/>
      <c r="AI252" s="240"/>
      <c r="AJ252" s="240"/>
      <c r="AK252" s="240"/>
      <c r="AL252" s="240"/>
      <c r="AM252" s="238"/>
      <c r="AN252" s="240"/>
      <c r="AO252" s="240"/>
      <c r="AP252" s="240"/>
      <c r="AQ252" s="238"/>
      <c r="AR252" s="240"/>
      <c r="AS252" s="240"/>
      <c r="AT252" s="240"/>
      <c r="AU252" s="240"/>
      <c r="AV252" s="240"/>
      <c r="AW252" s="240"/>
      <c r="AX252" s="240"/>
      <c r="AY252" s="240"/>
      <c r="AZ252" s="238"/>
      <c r="BA252" s="240"/>
      <c r="BB252" s="240"/>
      <c r="BC252" s="240"/>
      <c r="BD252" s="240"/>
      <c r="BE252" s="240"/>
      <c r="BF252" s="240"/>
      <c r="BG252" s="240"/>
      <c r="BH252" s="240"/>
      <c r="BI252" s="240"/>
      <c r="BJ252" s="240"/>
      <c r="BK252" s="240"/>
      <c r="BL252" s="240"/>
      <c r="BM252" s="240"/>
      <c r="BN252" s="240"/>
      <c r="BO252" s="240"/>
      <c r="BP252" s="238"/>
      <c r="BQ252" s="240"/>
      <c r="BR252" s="240"/>
      <c r="BS252" s="240"/>
      <c r="BT252" s="240"/>
      <c r="BU252" s="240"/>
      <c r="BV252" s="240"/>
      <c r="BW252" s="240"/>
      <c r="BX252" s="240"/>
      <c r="BY252" s="240"/>
      <c r="BZ252" s="240"/>
      <c r="CA252" s="240"/>
      <c r="CB252" s="240"/>
      <c r="CC252" s="240"/>
      <c r="CD252" s="240"/>
      <c r="CE252" s="240"/>
      <c r="CF252" s="238"/>
      <c r="CG252" s="240"/>
      <c r="CH252" s="240"/>
      <c r="CI252" s="240"/>
      <c r="CJ252" s="240"/>
      <c r="CK252" s="240"/>
      <c r="CL252" s="240"/>
      <c r="CM252" s="240"/>
      <c r="CN252" s="240"/>
      <c r="CO252" s="240"/>
      <c r="CP252" s="240"/>
      <c r="CQ252" s="240"/>
      <c r="CR252" s="240"/>
      <c r="CS252" s="238"/>
      <c r="CT252" s="240"/>
      <c r="CU252" s="240" t="s">
        <v>890</v>
      </c>
      <c r="CV252" s="240" t="s">
        <v>890</v>
      </c>
      <c r="CW252" s="240" t="s">
        <v>890</v>
      </c>
      <c r="CX252" s="240" t="s">
        <v>890</v>
      </c>
      <c r="CY252" s="240"/>
      <c r="CZ252" s="240"/>
      <c r="DA252" s="240" t="s">
        <v>890</v>
      </c>
      <c r="DB252" s="240"/>
      <c r="DC252" s="240"/>
      <c r="DD252" s="240" t="s">
        <v>890</v>
      </c>
      <c r="DE252" s="240"/>
      <c r="DF252" s="238"/>
      <c r="DG252" s="240"/>
      <c r="DH252" s="240"/>
      <c r="DI252" s="240" t="s">
        <v>890</v>
      </c>
      <c r="DJ252" s="240"/>
      <c r="DK252" s="240"/>
      <c r="DL252" s="240"/>
      <c r="DM252" s="240"/>
      <c r="DN252" s="240"/>
      <c r="DO252" s="240"/>
      <c r="DP252" s="240"/>
      <c r="DQ252" s="240"/>
      <c r="DR252" s="238"/>
      <c r="DS252" s="240"/>
      <c r="DT252" s="240"/>
      <c r="DU252" s="240"/>
      <c r="DV252" s="238"/>
      <c r="DW252" s="240"/>
      <c r="DX252" s="240"/>
      <c r="DY252" s="240"/>
      <c r="DZ252" s="240"/>
      <c r="EA252" s="240" t="s">
        <v>890</v>
      </c>
      <c r="EB252" s="240"/>
      <c r="EC252" s="240"/>
      <c r="ED252" s="240"/>
      <c r="EE252" s="240"/>
      <c r="EF252" s="238"/>
      <c r="EG252" s="240"/>
      <c r="EH252" s="240"/>
      <c r="EI252" s="240"/>
      <c r="EJ252" s="238"/>
      <c r="EK252" s="240"/>
      <c r="EL252" s="238"/>
      <c r="EM252" s="240"/>
      <c r="EN252" s="240"/>
      <c r="EO252" s="240"/>
      <c r="EP252" s="240"/>
      <c r="EQ252" s="240"/>
      <c r="ER252" s="240"/>
      <c r="ES252" s="240"/>
      <c r="ET252" s="240"/>
      <c r="EU252" s="240"/>
      <c r="EV252" s="240"/>
      <c r="EW252" s="240"/>
      <c r="EX252" s="238"/>
      <c r="EY252" s="240"/>
      <c r="EZ252" s="240"/>
      <c r="FA252" s="240"/>
      <c r="FB252" s="240"/>
      <c r="FC252" s="240"/>
      <c r="FD252" s="240"/>
      <c r="FE252" s="240"/>
      <c r="FF252" s="240"/>
      <c r="FG252" s="240"/>
      <c r="FH252" s="240"/>
      <c r="FI252" s="240"/>
      <c r="FJ252" s="240"/>
      <c r="FK252" s="240"/>
      <c r="FL252" s="240"/>
      <c r="FM252" s="240"/>
      <c r="FN252" s="240"/>
      <c r="FO252" s="238"/>
      <c r="FP252" s="240"/>
      <c r="FQ252" s="240"/>
      <c r="FR252" s="240"/>
      <c r="FS252" s="240"/>
      <c r="FT252" s="240"/>
      <c r="FU252" s="240"/>
      <c r="FV252" s="240"/>
      <c r="FW252" s="240"/>
      <c r="FX252" s="240"/>
      <c r="FY252" s="240"/>
      <c r="FZ252" s="238"/>
      <c r="GA252" s="240"/>
      <c r="GB252" s="240"/>
      <c r="GC252" s="238"/>
      <c r="GD252" s="240"/>
      <c r="GE252" s="240"/>
      <c r="GF252" s="240"/>
      <c r="GG252" s="240"/>
      <c r="GH252" s="238"/>
      <c r="GI252" s="240"/>
      <c r="GJ252" s="240"/>
      <c r="GK252" s="240"/>
      <c r="GL252" s="240"/>
      <c r="GM252" s="238"/>
      <c r="GN252" s="240"/>
      <c r="GO252" s="240"/>
      <c r="GP252" s="240"/>
      <c r="GQ252" s="240"/>
      <c r="GR252" s="240"/>
      <c r="GS252" s="240"/>
      <c r="GT252" s="240"/>
      <c r="GU252" s="240"/>
      <c r="GV252" s="240"/>
      <c r="GW252" s="240"/>
      <c r="GX252" s="240"/>
      <c r="GY252" s="240"/>
      <c r="GZ252" s="240"/>
      <c r="HA252" s="240"/>
      <c r="HB252" s="240"/>
      <c r="HC252" s="240"/>
      <c r="HD252" s="238"/>
      <c r="HE252" s="240"/>
      <c r="HF252" s="240"/>
      <c r="HG252" s="240"/>
      <c r="HH252" s="240"/>
      <c r="HI252" s="240"/>
      <c r="HJ252" s="238"/>
      <c r="HK252" s="240"/>
      <c r="HL252" s="238"/>
      <c r="HM252" s="241"/>
      <c r="HN252" s="235"/>
      <c r="HO252" s="235"/>
      <c r="HP252" s="235"/>
      <c r="HQ252" s="235"/>
    </row>
    <row r="253" spans="2:225" ht="37.5" hidden="1" outlineLevel="1">
      <c r="B253" s="275"/>
      <c r="C253" s="258" t="s">
        <v>116</v>
      </c>
      <c r="D253" s="236" t="s">
        <v>3325</v>
      </c>
      <c r="E253" s="237"/>
      <c r="F253" s="284" t="s">
        <v>540</v>
      </c>
      <c r="G253" s="230"/>
      <c r="H253" s="238"/>
      <c r="I253" s="239"/>
      <c r="J253" s="240" t="s">
        <v>890</v>
      </c>
      <c r="K253" s="240"/>
      <c r="L253" s="240"/>
      <c r="M253" s="240"/>
      <c r="N253" s="240"/>
      <c r="O253" s="240"/>
      <c r="P253" s="240"/>
      <c r="Q253" s="240"/>
      <c r="R253" s="240"/>
      <c r="S253" s="240"/>
      <c r="T253" s="240" t="s">
        <v>890</v>
      </c>
      <c r="U253" s="240"/>
      <c r="V253" s="240"/>
      <c r="W253" s="240"/>
      <c r="X253" s="238"/>
      <c r="Y253" s="240"/>
      <c r="Z253" s="240"/>
      <c r="AA253" s="240"/>
      <c r="AB253" s="240"/>
      <c r="AC253" s="240"/>
      <c r="AD253" s="240"/>
      <c r="AE253" s="240"/>
      <c r="AF253" s="240"/>
      <c r="AG253" s="240"/>
      <c r="AH253" s="238"/>
      <c r="AI253" s="240"/>
      <c r="AJ253" s="240"/>
      <c r="AK253" s="240"/>
      <c r="AL253" s="240"/>
      <c r="AM253" s="238"/>
      <c r="AN253" s="240"/>
      <c r="AO253" s="240"/>
      <c r="AP253" s="240"/>
      <c r="AQ253" s="238"/>
      <c r="AR253" s="240"/>
      <c r="AS253" s="240"/>
      <c r="AT253" s="240"/>
      <c r="AU253" s="240"/>
      <c r="AV253" s="240"/>
      <c r="AW253" s="240"/>
      <c r="AX253" s="240"/>
      <c r="AY253" s="240"/>
      <c r="AZ253" s="238"/>
      <c r="BA253" s="240"/>
      <c r="BB253" s="240"/>
      <c r="BC253" s="240"/>
      <c r="BD253" s="240"/>
      <c r="BE253" s="240"/>
      <c r="BF253" s="240"/>
      <c r="BG253" s="240"/>
      <c r="BH253" s="240"/>
      <c r="BI253" s="240"/>
      <c r="BJ253" s="240"/>
      <c r="BK253" s="240"/>
      <c r="BL253" s="240"/>
      <c r="BM253" s="240"/>
      <c r="BN253" s="240"/>
      <c r="BO253" s="240"/>
      <c r="BP253" s="238"/>
      <c r="BQ253" s="240"/>
      <c r="BR253" s="240"/>
      <c r="BS253" s="240"/>
      <c r="BT253" s="240"/>
      <c r="BU253" s="240"/>
      <c r="BV253" s="240"/>
      <c r="BW253" s="240"/>
      <c r="BX253" s="240"/>
      <c r="BY253" s="240"/>
      <c r="BZ253" s="240"/>
      <c r="CA253" s="240"/>
      <c r="CB253" s="240"/>
      <c r="CC253" s="240"/>
      <c r="CD253" s="240"/>
      <c r="CE253" s="240"/>
      <c r="CF253" s="238"/>
      <c r="CG253" s="240"/>
      <c r="CH253" s="240"/>
      <c r="CI253" s="240"/>
      <c r="CJ253" s="240"/>
      <c r="CK253" s="240"/>
      <c r="CL253" s="240"/>
      <c r="CM253" s="240"/>
      <c r="CN253" s="240"/>
      <c r="CO253" s="240"/>
      <c r="CP253" s="240"/>
      <c r="CQ253" s="240"/>
      <c r="CR253" s="240"/>
      <c r="CS253" s="238"/>
      <c r="CT253" s="240"/>
      <c r="CU253" s="240"/>
      <c r="CV253" s="240"/>
      <c r="CW253" s="240"/>
      <c r="CX253" s="240"/>
      <c r="CY253" s="240"/>
      <c r="CZ253" s="240"/>
      <c r="DA253" s="240"/>
      <c r="DB253" s="240"/>
      <c r="DC253" s="240"/>
      <c r="DD253" s="240"/>
      <c r="DE253" s="240"/>
      <c r="DF253" s="238"/>
      <c r="DG253" s="240"/>
      <c r="DH253" s="240"/>
      <c r="DI253" s="240"/>
      <c r="DJ253" s="240"/>
      <c r="DK253" s="240"/>
      <c r="DL253" s="240"/>
      <c r="DM253" s="240"/>
      <c r="DN253" s="240"/>
      <c r="DO253" s="240"/>
      <c r="DP253" s="240" t="s">
        <v>890</v>
      </c>
      <c r="DQ253" s="240"/>
      <c r="DR253" s="238"/>
      <c r="DS253" s="240"/>
      <c r="DT253" s="240"/>
      <c r="DU253" s="240"/>
      <c r="DV253" s="238"/>
      <c r="DW253" s="240"/>
      <c r="DX253" s="240"/>
      <c r="DY253" s="240"/>
      <c r="DZ253" s="240"/>
      <c r="EA253" s="240"/>
      <c r="EB253" s="240"/>
      <c r="EC253" s="240"/>
      <c r="ED253" s="240"/>
      <c r="EE253" s="240"/>
      <c r="EF253" s="238"/>
      <c r="EG253" s="240"/>
      <c r="EH253" s="240"/>
      <c r="EI253" s="240"/>
      <c r="EJ253" s="238"/>
      <c r="EK253" s="240"/>
      <c r="EL253" s="238"/>
      <c r="EM253" s="240"/>
      <c r="EN253" s="240"/>
      <c r="EO253" s="240"/>
      <c r="EP253" s="240"/>
      <c r="EQ253" s="240"/>
      <c r="ER253" s="240"/>
      <c r="ES253" s="240"/>
      <c r="ET253" s="240"/>
      <c r="EU253" s="240"/>
      <c r="EV253" s="240"/>
      <c r="EW253" s="240"/>
      <c r="EX253" s="238"/>
      <c r="EY253" s="240"/>
      <c r="EZ253" s="240"/>
      <c r="FA253" s="240"/>
      <c r="FB253" s="240"/>
      <c r="FC253" s="240"/>
      <c r="FD253" s="240"/>
      <c r="FE253" s="240"/>
      <c r="FF253" s="240"/>
      <c r="FG253" s="240"/>
      <c r="FH253" s="240"/>
      <c r="FI253" s="240"/>
      <c r="FJ253" s="240"/>
      <c r="FK253" s="240"/>
      <c r="FL253" s="240"/>
      <c r="FM253" s="240"/>
      <c r="FN253" s="240"/>
      <c r="FO253" s="238"/>
      <c r="FP253" s="240"/>
      <c r="FQ253" s="240"/>
      <c r="FR253" s="240"/>
      <c r="FS253" s="240"/>
      <c r="FT253" s="240"/>
      <c r="FU253" s="240"/>
      <c r="FV253" s="240"/>
      <c r="FW253" s="240"/>
      <c r="FX253" s="240"/>
      <c r="FY253" s="240"/>
      <c r="FZ253" s="238"/>
      <c r="GA253" s="240"/>
      <c r="GB253" s="240"/>
      <c r="GC253" s="238"/>
      <c r="GD253" s="240"/>
      <c r="GE253" s="240"/>
      <c r="GF253" s="240"/>
      <c r="GG253" s="240"/>
      <c r="GH253" s="238"/>
      <c r="GI253" s="240"/>
      <c r="GJ253" s="240"/>
      <c r="GK253" s="240"/>
      <c r="GL253" s="240"/>
      <c r="GM253" s="238"/>
      <c r="GN253" s="240"/>
      <c r="GO253" s="240"/>
      <c r="GP253" s="240"/>
      <c r="GQ253" s="240"/>
      <c r="GR253" s="240"/>
      <c r="GS253" s="240"/>
      <c r="GT253" s="240"/>
      <c r="GU253" s="240"/>
      <c r="GV253" s="240"/>
      <c r="GW253" s="240"/>
      <c r="GX253" s="240"/>
      <c r="GY253" s="240"/>
      <c r="GZ253" s="240"/>
      <c r="HA253" s="240"/>
      <c r="HB253" s="240"/>
      <c r="HC253" s="240"/>
      <c r="HD253" s="238"/>
      <c r="HE253" s="240"/>
      <c r="HF253" s="240"/>
      <c r="HG253" s="240"/>
      <c r="HH253" s="240"/>
      <c r="HI253" s="240"/>
      <c r="HJ253" s="238"/>
      <c r="HK253" s="240"/>
      <c r="HL253" s="238"/>
      <c r="HM253" s="241"/>
      <c r="HN253" s="235"/>
      <c r="HO253" s="235"/>
      <c r="HP253" s="235"/>
      <c r="HQ253" s="235"/>
    </row>
    <row r="254" spans="2:225" ht="37.5" hidden="1" outlineLevel="1">
      <c r="B254" s="303" t="s">
        <v>748</v>
      </c>
      <c r="C254" s="252" t="str">
        <f>IF(OR(D5='3. Dropdowns'!C8,D5='3. Dropdowns'!C9),"Hide","Show")</f>
        <v>Show</v>
      </c>
      <c r="D254" s="236" t="s">
        <v>3326</v>
      </c>
      <c r="E254" s="248"/>
      <c r="F254" s="284" t="str">
        <f>IF(E254='3. Dropdowns'!C347,"","Submittals, Products")</f>
        <v>Submittals, Products</v>
      </c>
      <c r="G254" s="230"/>
      <c r="H254" s="238"/>
      <c r="I254" s="239"/>
      <c r="J254" s="240" t="s">
        <v>890</v>
      </c>
      <c r="K254" s="240"/>
      <c r="L254" s="240"/>
      <c r="M254" s="240"/>
      <c r="N254" s="240"/>
      <c r="O254" s="240"/>
      <c r="P254" s="240"/>
      <c r="Q254" s="240"/>
      <c r="R254" s="240"/>
      <c r="S254" s="240"/>
      <c r="T254" s="240" t="s">
        <v>890</v>
      </c>
      <c r="U254" s="240"/>
      <c r="V254" s="240"/>
      <c r="W254" s="240"/>
      <c r="X254" s="238"/>
      <c r="Y254" s="240"/>
      <c r="Z254" s="240"/>
      <c r="AA254" s="240"/>
      <c r="AB254" s="240"/>
      <c r="AC254" s="240"/>
      <c r="AD254" s="240"/>
      <c r="AE254" s="240"/>
      <c r="AF254" s="240"/>
      <c r="AG254" s="240"/>
      <c r="AH254" s="238"/>
      <c r="AI254" s="240"/>
      <c r="AJ254" s="240"/>
      <c r="AK254" s="240"/>
      <c r="AL254" s="240"/>
      <c r="AM254" s="238"/>
      <c r="AN254" s="240"/>
      <c r="AO254" s="240"/>
      <c r="AP254" s="240"/>
      <c r="AQ254" s="238"/>
      <c r="AR254" s="240"/>
      <c r="AS254" s="240"/>
      <c r="AT254" s="240"/>
      <c r="AU254" s="240"/>
      <c r="AV254" s="240"/>
      <c r="AW254" s="240"/>
      <c r="AX254" s="240"/>
      <c r="AY254" s="240"/>
      <c r="AZ254" s="238"/>
      <c r="BA254" s="240"/>
      <c r="BB254" s="240"/>
      <c r="BC254" s="240"/>
      <c r="BD254" s="240"/>
      <c r="BE254" s="240"/>
      <c r="BF254" s="240"/>
      <c r="BG254" s="240"/>
      <c r="BH254" s="240"/>
      <c r="BI254" s="240"/>
      <c r="BJ254" s="240"/>
      <c r="BK254" s="240"/>
      <c r="BL254" s="240"/>
      <c r="BM254" s="240"/>
      <c r="BN254" s="240"/>
      <c r="BO254" s="240"/>
      <c r="BP254" s="238"/>
      <c r="BQ254" s="240"/>
      <c r="BR254" s="240"/>
      <c r="BS254" s="240"/>
      <c r="BT254" s="240"/>
      <c r="BU254" s="240"/>
      <c r="BV254" s="240"/>
      <c r="BW254" s="240"/>
      <c r="BX254" s="240"/>
      <c r="BY254" s="240"/>
      <c r="BZ254" s="240"/>
      <c r="CA254" s="240"/>
      <c r="CB254" s="240"/>
      <c r="CC254" s="240"/>
      <c r="CD254" s="240"/>
      <c r="CE254" s="240"/>
      <c r="CF254" s="238"/>
      <c r="CG254" s="240"/>
      <c r="CH254" s="240"/>
      <c r="CI254" s="240"/>
      <c r="CJ254" s="240"/>
      <c r="CK254" s="240"/>
      <c r="CL254" s="240"/>
      <c r="CM254" s="240" t="s">
        <v>890</v>
      </c>
      <c r="CN254" s="240"/>
      <c r="CO254" s="240"/>
      <c r="CP254" s="240"/>
      <c r="CQ254" s="240"/>
      <c r="CR254" s="240"/>
      <c r="CS254" s="238"/>
      <c r="CT254" s="240"/>
      <c r="CU254" s="240"/>
      <c r="CV254" s="240"/>
      <c r="CW254" s="240"/>
      <c r="CX254" s="240"/>
      <c r="CY254" s="240"/>
      <c r="CZ254" s="240"/>
      <c r="DA254" s="240"/>
      <c r="DB254" s="240" t="s">
        <v>890</v>
      </c>
      <c r="DC254" s="240" t="s">
        <v>890</v>
      </c>
      <c r="DD254" s="240"/>
      <c r="DE254" s="240"/>
      <c r="DF254" s="238"/>
      <c r="DG254" s="240"/>
      <c r="DH254" s="240"/>
      <c r="DI254" s="240"/>
      <c r="DJ254" s="240"/>
      <c r="DK254" s="240"/>
      <c r="DL254" s="240"/>
      <c r="DM254" s="240"/>
      <c r="DN254" s="240"/>
      <c r="DO254" s="240"/>
      <c r="DP254" s="240"/>
      <c r="DQ254" s="240"/>
      <c r="DR254" s="238"/>
      <c r="DS254" s="240"/>
      <c r="DT254" s="240"/>
      <c r="DU254" s="240"/>
      <c r="DV254" s="238"/>
      <c r="DW254" s="240"/>
      <c r="DX254" s="240"/>
      <c r="DY254" s="240"/>
      <c r="DZ254" s="240"/>
      <c r="EA254" s="240"/>
      <c r="EB254" s="240"/>
      <c r="EC254" s="240"/>
      <c r="ED254" s="240"/>
      <c r="EE254" s="240"/>
      <c r="EF254" s="238"/>
      <c r="EG254" s="240"/>
      <c r="EH254" s="240"/>
      <c r="EI254" s="240"/>
      <c r="EJ254" s="238"/>
      <c r="EK254" s="240"/>
      <c r="EL254" s="238"/>
      <c r="EM254" s="240"/>
      <c r="EN254" s="240"/>
      <c r="EO254" s="240"/>
      <c r="EP254" s="240"/>
      <c r="EQ254" s="240"/>
      <c r="ER254" s="240"/>
      <c r="ES254" s="240"/>
      <c r="ET254" s="240"/>
      <c r="EU254" s="240"/>
      <c r="EV254" s="240"/>
      <c r="EW254" s="240"/>
      <c r="EX254" s="238"/>
      <c r="EY254" s="240"/>
      <c r="EZ254" s="240"/>
      <c r="FA254" s="240"/>
      <c r="FB254" s="240"/>
      <c r="FC254" s="240"/>
      <c r="FD254" s="240"/>
      <c r="FE254" s="240"/>
      <c r="FF254" s="240"/>
      <c r="FG254" s="240"/>
      <c r="FH254" s="240"/>
      <c r="FI254" s="240"/>
      <c r="FJ254" s="240"/>
      <c r="FK254" s="240"/>
      <c r="FL254" s="240"/>
      <c r="FM254" s="240"/>
      <c r="FN254" s="240"/>
      <c r="FO254" s="238"/>
      <c r="FP254" s="240"/>
      <c r="FQ254" s="240"/>
      <c r="FR254" s="240"/>
      <c r="FS254" s="240"/>
      <c r="FT254" s="240"/>
      <c r="FU254" s="240"/>
      <c r="FV254" s="240"/>
      <c r="FW254" s="240"/>
      <c r="FX254" s="240"/>
      <c r="FY254" s="240"/>
      <c r="FZ254" s="238"/>
      <c r="GA254" s="240"/>
      <c r="GB254" s="240"/>
      <c r="GC254" s="238"/>
      <c r="GD254" s="240"/>
      <c r="GE254" s="240"/>
      <c r="GF254" s="240"/>
      <c r="GG254" s="240"/>
      <c r="GH254" s="238"/>
      <c r="GI254" s="240"/>
      <c r="GJ254" s="240"/>
      <c r="GK254" s="240"/>
      <c r="GL254" s="240"/>
      <c r="GM254" s="238"/>
      <c r="GN254" s="240"/>
      <c r="GO254" s="240"/>
      <c r="GP254" s="240"/>
      <c r="GQ254" s="240"/>
      <c r="GR254" s="240"/>
      <c r="GS254" s="240"/>
      <c r="GT254" s="240"/>
      <c r="GU254" s="240"/>
      <c r="GV254" s="240"/>
      <c r="GW254" s="240"/>
      <c r="GX254" s="240"/>
      <c r="GY254" s="240"/>
      <c r="GZ254" s="240"/>
      <c r="HA254" s="240"/>
      <c r="HB254" s="240"/>
      <c r="HC254" s="240"/>
      <c r="HD254" s="238"/>
      <c r="HE254" s="240"/>
      <c r="HF254" s="240"/>
      <c r="HG254" s="240"/>
      <c r="HH254" s="240"/>
      <c r="HI254" s="240"/>
      <c r="HJ254" s="238"/>
      <c r="HK254" s="240"/>
      <c r="HL254" s="238"/>
      <c r="HM254" s="241" t="s">
        <v>890</v>
      </c>
      <c r="HN254" s="235"/>
      <c r="HO254" s="235"/>
      <c r="HP254" s="235"/>
      <c r="HQ254" s="235"/>
    </row>
    <row r="255" spans="2:225" ht="37.5" hidden="1" outlineLevel="1">
      <c r="B255" s="303" t="s">
        <v>1323</v>
      </c>
      <c r="C255" s="252" t="str">
        <f>IF(D5='3. Dropdowns'!C7,"Hide","Show")</f>
        <v>Show</v>
      </c>
      <c r="D255" s="236" t="s">
        <v>3327</v>
      </c>
      <c r="E255" s="248"/>
      <c r="F255" s="284" t="str">
        <f>IF(E255='3. Dropdowns'!C351,"","Submittals, Products, Execution")</f>
        <v>Submittals, Products, Execution</v>
      </c>
      <c r="G255" s="230"/>
      <c r="H255" s="242"/>
      <c r="I255" s="239" t="s">
        <v>890</v>
      </c>
      <c r="J255" s="240" t="s">
        <v>890</v>
      </c>
      <c r="K255" s="240"/>
      <c r="L255" s="240"/>
      <c r="M255" s="240"/>
      <c r="N255" s="240"/>
      <c r="O255" s="240"/>
      <c r="P255" s="240"/>
      <c r="Q255" s="240"/>
      <c r="R255" s="240"/>
      <c r="S255" s="240"/>
      <c r="T255" s="240" t="s">
        <v>890</v>
      </c>
      <c r="U255" s="240"/>
      <c r="V255" s="240"/>
      <c r="W255" s="240"/>
      <c r="X255" s="242"/>
      <c r="Y255" s="240"/>
      <c r="Z255" s="240"/>
      <c r="AA255" s="240"/>
      <c r="AB255" s="240"/>
      <c r="AC255" s="240"/>
      <c r="AD255" s="240"/>
      <c r="AE255" s="240"/>
      <c r="AF255" s="240"/>
      <c r="AG255" s="240"/>
      <c r="AH255" s="242"/>
      <c r="AI255" s="240"/>
      <c r="AJ255" s="240"/>
      <c r="AK255" s="240"/>
      <c r="AL255" s="240"/>
      <c r="AM255" s="242"/>
      <c r="AN255" s="240"/>
      <c r="AO255" s="240"/>
      <c r="AP255" s="240"/>
      <c r="AQ255" s="242"/>
      <c r="AR255" s="240"/>
      <c r="AS255" s="240"/>
      <c r="AT255" s="240"/>
      <c r="AU255" s="240"/>
      <c r="AV255" s="240"/>
      <c r="AW255" s="240"/>
      <c r="AX255" s="240"/>
      <c r="AY255" s="240"/>
      <c r="AZ255" s="242"/>
      <c r="BA255" s="240"/>
      <c r="BB255" s="240"/>
      <c r="BC255" s="240"/>
      <c r="BD255" s="240"/>
      <c r="BE255" s="240"/>
      <c r="BF255" s="240"/>
      <c r="BG255" s="240"/>
      <c r="BH255" s="240"/>
      <c r="BI255" s="240"/>
      <c r="BJ255" s="240"/>
      <c r="BK255" s="240"/>
      <c r="BL255" s="240"/>
      <c r="BM255" s="240"/>
      <c r="BN255" s="240"/>
      <c r="BO255" s="240"/>
      <c r="BP255" s="242"/>
      <c r="BQ255" s="240"/>
      <c r="BR255" s="240"/>
      <c r="BS255" s="240"/>
      <c r="BT255" s="240"/>
      <c r="BU255" s="240"/>
      <c r="BV255" s="240"/>
      <c r="BW255" s="240"/>
      <c r="BX255" s="240"/>
      <c r="BY255" s="240"/>
      <c r="BZ255" s="240"/>
      <c r="CA255" s="240"/>
      <c r="CB255" s="240"/>
      <c r="CC255" s="240"/>
      <c r="CD255" s="240"/>
      <c r="CE255" s="240"/>
      <c r="CF255" s="242"/>
      <c r="CG255" s="240"/>
      <c r="CH255" s="240"/>
      <c r="CI255" s="240"/>
      <c r="CJ255" s="240"/>
      <c r="CK255" s="240"/>
      <c r="CL255" s="240"/>
      <c r="CM255" s="240" t="s">
        <v>890</v>
      </c>
      <c r="CN255" s="240"/>
      <c r="CO255" s="240"/>
      <c r="CP255" s="240"/>
      <c r="CQ255" s="240"/>
      <c r="CR255" s="240"/>
      <c r="CS255" s="242"/>
      <c r="CT255" s="240"/>
      <c r="CU255" s="240"/>
      <c r="CV255" s="240"/>
      <c r="CW255" s="240"/>
      <c r="CX255" s="240"/>
      <c r="CY255" s="240"/>
      <c r="CZ255" s="240"/>
      <c r="DA255" s="240"/>
      <c r="DB255" s="240" t="s">
        <v>890</v>
      </c>
      <c r="DC255" s="240" t="s">
        <v>890</v>
      </c>
      <c r="DD255" s="240"/>
      <c r="DE255" s="240"/>
      <c r="DF255" s="242"/>
      <c r="DG255" s="240"/>
      <c r="DH255" s="240"/>
      <c r="DI255" s="240"/>
      <c r="DJ255" s="240"/>
      <c r="DK255" s="240"/>
      <c r="DL255" s="240"/>
      <c r="DM255" s="240"/>
      <c r="DN255" s="240"/>
      <c r="DO255" s="240"/>
      <c r="DP255" s="240"/>
      <c r="DQ255" s="240"/>
      <c r="DR255" s="242"/>
      <c r="DS255" s="240"/>
      <c r="DT255" s="240"/>
      <c r="DU255" s="240"/>
      <c r="DV255" s="242"/>
      <c r="DW255" s="240"/>
      <c r="DX255" s="240"/>
      <c r="DY255" s="240"/>
      <c r="DZ255" s="240"/>
      <c r="EA255" s="240"/>
      <c r="EB255" s="240"/>
      <c r="EC255" s="240"/>
      <c r="ED255" s="240"/>
      <c r="EE255" s="240"/>
      <c r="EF255" s="242"/>
      <c r="EG255" s="240"/>
      <c r="EH255" s="240"/>
      <c r="EI255" s="240"/>
      <c r="EJ255" s="242"/>
      <c r="EK255" s="240"/>
      <c r="EL255" s="242"/>
      <c r="EM255" s="240"/>
      <c r="EN255" s="240"/>
      <c r="EO255" s="240"/>
      <c r="EP255" s="240"/>
      <c r="EQ255" s="240"/>
      <c r="ER255" s="240"/>
      <c r="ES255" s="240"/>
      <c r="ET255" s="240"/>
      <c r="EU255" s="240"/>
      <c r="EV255" s="240"/>
      <c r="EW255" s="240"/>
      <c r="EX255" s="242"/>
      <c r="EY255" s="240"/>
      <c r="EZ255" s="240"/>
      <c r="FA255" s="240"/>
      <c r="FB255" s="240"/>
      <c r="FC255" s="240"/>
      <c r="FD255" s="240"/>
      <c r="FE255" s="240"/>
      <c r="FF255" s="240"/>
      <c r="FG255" s="240"/>
      <c r="FH255" s="240"/>
      <c r="FI255" s="240"/>
      <c r="FJ255" s="240"/>
      <c r="FK255" s="240"/>
      <c r="FL255" s="240"/>
      <c r="FM255" s="240"/>
      <c r="FN255" s="240"/>
      <c r="FO255" s="242"/>
      <c r="FP255" s="240"/>
      <c r="FQ255" s="240"/>
      <c r="FR255" s="240"/>
      <c r="FS255" s="240"/>
      <c r="FT255" s="240"/>
      <c r="FU255" s="240"/>
      <c r="FV255" s="240"/>
      <c r="FW255" s="240"/>
      <c r="FX255" s="240"/>
      <c r="FY255" s="240"/>
      <c r="FZ255" s="242"/>
      <c r="GA255" s="240"/>
      <c r="GB255" s="240"/>
      <c r="GC255" s="242"/>
      <c r="GD255" s="240"/>
      <c r="GE255" s="240"/>
      <c r="GF255" s="240"/>
      <c r="GG255" s="240"/>
      <c r="GH255" s="242"/>
      <c r="GI255" s="240"/>
      <c r="GJ255" s="240"/>
      <c r="GK255" s="240"/>
      <c r="GL255" s="240"/>
      <c r="GM255" s="242"/>
      <c r="GN255" s="240"/>
      <c r="GO255" s="240"/>
      <c r="GP255" s="240"/>
      <c r="GQ255" s="240"/>
      <c r="GR255" s="240"/>
      <c r="GS255" s="240"/>
      <c r="GT255" s="240"/>
      <c r="GU255" s="240"/>
      <c r="GV255" s="240"/>
      <c r="GW255" s="240"/>
      <c r="GX255" s="240"/>
      <c r="GY255" s="240"/>
      <c r="GZ255" s="240"/>
      <c r="HA255" s="240"/>
      <c r="HB255" s="240"/>
      <c r="HC255" s="240"/>
      <c r="HD255" s="242"/>
      <c r="HE255" s="240"/>
      <c r="HF255" s="240"/>
      <c r="HG255" s="240"/>
      <c r="HH255" s="240"/>
      <c r="HI255" s="240"/>
      <c r="HJ255" s="242"/>
      <c r="HK255" s="240"/>
      <c r="HL255" s="242"/>
      <c r="HM255" s="241" t="s">
        <v>890</v>
      </c>
      <c r="HN255" s="235"/>
      <c r="HO255" s="235"/>
      <c r="HP255" s="235"/>
      <c r="HQ255" s="235"/>
    </row>
    <row r="256" spans="2:225" hidden="1" outlineLevel="1">
      <c r="B256" s="303" t="s">
        <v>1399</v>
      </c>
      <c r="C256" s="252" t="str">
        <f>IF(D7='3. Dropdowns'!C17,"Hide",IF(D5='3. Dropdowns'!C9,"Hide","Show"))</f>
        <v>Show</v>
      </c>
      <c r="D256" s="220" t="s">
        <v>113</v>
      </c>
      <c r="E256" s="221"/>
      <c r="F256" s="286"/>
      <c r="G256" s="222"/>
      <c r="H256" s="224"/>
      <c r="I256" s="224"/>
      <c r="J256" s="224"/>
      <c r="K256" s="224"/>
      <c r="L256" s="224"/>
      <c r="M256" s="224"/>
      <c r="N256" s="224"/>
      <c r="O256" s="224"/>
      <c r="P256" s="224"/>
      <c r="Q256" s="224"/>
      <c r="R256" s="224"/>
      <c r="S256" s="224"/>
      <c r="T256" s="224"/>
      <c r="U256" s="224"/>
      <c r="V256" s="224"/>
      <c r="W256" s="224"/>
      <c r="X256" s="224"/>
      <c r="Y256" s="224"/>
      <c r="Z256" s="224"/>
      <c r="AA256" s="224"/>
      <c r="AB256" s="224"/>
      <c r="AC256" s="224"/>
      <c r="AD256" s="224"/>
      <c r="AE256" s="224"/>
      <c r="AF256" s="224"/>
      <c r="AG256" s="224"/>
      <c r="AH256" s="224"/>
      <c r="AI256" s="224"/>
      <c r="AJ256" s="224"/>
      <c r="AK256" s="224"/>
      <c r="AL256" s="224"/>
      <c r="AM256" s="224"/>
      <c r="AN256" s="224"/>
      <c r="AO256" s="224"/>
      <c r="AP256" s="224"/>
      <c r="AQ256" s="224"/>
      <c r="AR256" s="224"/>
      <c r="AS256" s="224"/>
      <c r="AT256" s="224"/>
      <c r="AU256" s="224"/>
      <c r="AV256" s="224"/>
      <c r="AW256" s="224"/>
      <c r="AX256" s="224"/>
      <c r="AY256" s="224"/>
      <c r="AZ256" s="224"/>
      <c r="BA256" s="224"/>
      <c r="BB256" s="224"/>
      <c r="BC256" s="224"/>
      <c r="BD256" s="224"/>
      <c r="BE256" s="224"/>
      <c r="BF256" s="224"/>
      <c r="BG256" s="224"/>
      <c r="BH256" s="224"/>
      <c r="BI256" s="224"/>
      <c r="BJ256" s="224"/>
      <c r="BK256" s="224"/>
      <c r="BL256" s="224"/>
      <c r="BM256" s="224"/>
      <c r="BN256" s="224"/>
      <c r="BO256" s="224"/>
      <c r="BP256" s="224"/>
      <c r="BQ256" s="224"/>
      <c r="BR256" s="224"/>
      <c r="BS256" s="224"/>
      <c r="BT256" s="224"/>
      <c r="BU256" s="224"/>
      <c r="BV256" s="224"/>
      <c r="BW256" s="224"/>
      <c r="BX256" s="224"/>
      <c r="BY256" s="224"/>
      <c r="BZ256" s="224"/>
      <c r="CA256" s="224"/>
      <c r="CB256" s="224"/>
      <c r="CC256" s="224"/>
      <c r="CD256" s="224"/>
      <c r="CE256" s="224"/>
      <c r="CF256" s="224"/>
      <c r="CG256" s="224"/>
      <c r="CH256" s="224"/>
      <c r="CI256" s="224"/>
      <c r="CJ256" s="224"/>
      <c r="CK256" s="224"/>
      <c r="CL256" s="224"/>
      <c r="CM256" s="224"/>
      <c r="CN256" s="224"/>
      <c r="CO256" s="224"/>
      <c r="CP256" s="224"/>
      <c r="CQ256" s="224"/>
      <c r="CR256" s="224"/>
      <c r="CS256" s="224"/>
      <c r="CT256" s="224"/>
      <c r="CU256" s="224"/>
      <c r="CV256" s="224"/>
      <c r="CW256" s="224"/>
      <c r="CX256" s="224"/>
      <c r="CY256" s="224"/>
      <c r="CZ256" s="224"/>
      <c r="DA256" s="224"/>
      <c r="DB256" s="224"/>
      <c r="DC256" s="224"/>
      <c r="DD256" s="224"/>
      <c r="DE256" s="224"/>
      <c r="DF256" s="224"/>
      <c r="DG256" s="224"/>
      <c r="DH256" s="224"/>
      <c r="DI256" s="224"/>
      <c r="DJ256" s="224"/>
      <c r="DK256" s="224"/>
      <c r="DL256" s="224"/>
      <c r="DM256" s="224"/>
      <c r="DN256" s="224"/>
      <c r="DO256" s="224"/>
      <c r="DP256" s="224"/>
      <c r="DQ256" s="224"/>
      <c r="DR256" s="224"/>
      <c r="DS256" s="224"/>
      <c r="DT256" s="224"/>
      <c r="DU256" s="224"/>
      <c r="DV256" s="224"/>
      <c r="DW256" s="224"/>
      <c r="DX256" s="224"/>
      <c r="DY256" s="224"/>
      <c r="DZ256" s="224"/>
      <c r="EA256" s="224"/>
      <c r="EB256" s="224"/>
      <c r="EC256" s="224"/>
      <c r="ED256" s="224"/>
      <c r="EE256" s="224"/>
      <c r="EF256" s="224"/>
      <c r="EG256" s="224"/>
      <c r="EH256" s="224"/>
      <c r="EI256" s="224"/>
      <c r="EJ256" s="224"/>
      <c r="EK256" s="224"/>
      <c r="EL256" s="224"/>
      <c r="EM256" s="224"/>
      <c r="EN256" s="224"/>
      <c r="EO256" s="224"/>
      <c r="EP256" s="224"/>
      <c r="EQ256" s="224"/>
      <c r="ER256" s="224"/>
      <c r="ES256" s="224"/>
      <c r="ET256" s="224"/>
      <c r="EU256" s="224"/>
      <c r="EV256" s="224"/>
      <c r="EW256" s="224"/>
      <c r="EX256" s="224"/>
      <c r="EY256" s="224"/>
      <c r="EZ256" s="224"/>
      <c r="FA256" s="224"/>
      <c r="FB256" s="224"/>
      <c r="FC256" s="224"/>
      <c r="FD256" s="224"/>
      <c r="FE256" s="224"/>
      <c r="FF256" s="224"/>
      <c r="FG256" s="224"/>
      <c r="FH256" s="224"/>
      <c r="FI256" s="224"/>
      <c r="FJ256" s="224"/>
      <c r="FK256" s="224"/>
      <c r="FL256" s="224"/>
      <c r="FM256" s="224"/>
      <c r="FN256" s="224"/>
      <c r="FO256" s="224"/>
      <c r="FP256" s="224"/>
      <c r="FQ256" s="224"/>
      <c r="FR256" s="224"/>
      <c r="FS256" s="224"/>
      <c r="FT256" s="224"/>
      <c r="FU256" s="224"/>
      <c r="FV256" s="224"/>
      <c r="FW256" s="224"/>
      <c r="FX256" s="224"/>
      <c r="FY256" s="224"/>
      <c r="FZ256" s="224"/>
      <c r="GA256" s="224"/>
      <c r="GB256" s="224"/>
      <c r="GC256" s="224"/>
      <c r="GD256" s="224"/>
      <c r="GE256" s="224"/>
      <c r="GF256" s="224"/>
      <c r="GG256" s="224"/>
      <c r="GH256" s="224"/>
      <c r="GI256" s="224"/>
      <c r="GJ256" s="224"/>
      <c r="GK256" s="224"/>
      <c r="GL256" s="224"/>
      <c r="GM256" s="224"/>
      <c r="GN256" s="224"/>
      <c r="GO256" s="224"/>
      <c r="GP256" s="224"/>
      <c r="GQ256" s="224"/>
      <c r="GR256" s="224"/>
      <c r="GS256" s="224"/>
      <c r="GT256" s="224"/>
      <c r="GU256" s="224"/>
      <c r="GV256" s="224"/>
      <c r="GW256" s="224"/>
      <c r="GX256" s="224"/>
      <c r="GY256" s="224"/>
      <c r="GZ256" s="224"/>
      <c r="HA256" s="224"/>
      <c r="HB256" s="224"/>
      <c r="HC256" s="224"/>
      <c r="HD256" s="224"/>
      <c r="HE256" s="224"/>
      <c r="HF256" s="224"/>
      <c r="HG256" s="224"/>
      <c r="HH256" s="224"/>
      <c r="HI256" s="224"/>
      <c r="HJ256" s="224"/>
      <c r="HK256" s="224"/>
      <c r="HL256" s="224"/>
      <c r="HM256" s="265"/>
      <c r="HN256" s="235"/>
      <c r="HO256" s="235"/>
      <c r="HP256" s="235"/>
      <c r="HQ256" s="235"/>
    </row>
    <row r="257" spans="2:225" hidden="1" outlineLevel="2">
      <c r="B257" s="303" t="s">
        <v>1399</v>
      </c>
      <c r="C257" s="252" t="str">
        <f>IF(D7='3. Dropdowns'!C17,"Hide",IF(D5='3. Dropdowns'!C9,"Hide","Show"))</f>
        <v>Show</v>
      </c>
      <c r="D257" s="236" t="s">
        <v>3328</v>
      </c>
      <c r="E257" s="248"/>
      <c r="F257" s="284" t="str">
        <f>IF(E257='3. Dropdowns'!C358,"","Submittals, Execution")</f>
        <v>Submittals, Execution</v>
      </c>
      <c r="G257" s="230"/>
      <c r="H257" s="231"/>
      <c r="I257" s="239"/>
      <c r="J257" s="240"/>
      <c r="K257" s="240"/>
      <c r="L257" s="240"/>
      <c r="M257" s="240"/>
      <c r="N257" s="240"/>
      <c r="O257" s="240"/>
      <c r="P257" s="240"/>
      <c r="Q257" s="240"/>
      <c r="R257" s="240"/>
      <c r="S257" s="240"/>
      <c r="T257" s="240" t="s">
        <v>890</v>
      </c>
      <c r="U257" s="240"/>
      <c r="V257" s="240"/>
      <c r="W257" s="240"/>
      <c r="X257" s="231"/>
      <c r="Y257" s="240"/>
      <c r="Z257" s="240"/>
      <c r="AA257" s="240"/>
      <c r="AB257" s="240"/>
      <c r="AC257" s="240"/>
      <c r="AD257" s="240"/>
      <c r="AE257" s="240"/>
      <c r="AF257" s="240"/>
      <c r="AG257" s="240"/>
      <c r="AH257" s="231"/>
      <c r="AI257" s="240"/>
      <c r="AJ257" s="240"/>
      <c r="AK257" s="240"/>
      <c r="AL257" s="240"/>
      <c r="AM257" s="231"/>
      <c r="AN257" s="240"/>
      <c r="AO257" s="240"/>
      <c r="AP257" s="240"/>
      <c r="AQ257" s="231"/>
      <c r="AR257" s="240"/>
      <c r="AS257" s="240"/>
      <c r="AT257" s="240"/>
      <c r="AU257" s="240"/>
      <c r="AV257" s="240"/>
      <c r="AW257" s="240"/>
      <c r="AX257" s="240"/>
      <c r="AY257" s="240"/>
      <c r="AZ257" s="231"/>
      <c r="BA257" s="240"/>
      <c r="BB257" s="240"/>
      <c r="BC257" s="240"/>
      <c r="BD257" s="240"/>
      <c r="BE257" s="240"/>
      <c r="BF257" s="240"/>
      <c r="BG257" s="240"/>
      <c r="BH257" s="240"/>
      <c r="BI257" s="240"/>
      <c r="BJ257" s="240"/>
      <c r="BK257" s="240"/>
      <c r="BL257" s="240"/>
      <c r="BM257" s="240"/>
      <c r="BN257" s="240"/>
      <c r="BO257" s="240"/>
      <c r="BP257" s="231"/>
      <c r="BQ257" s="240"/>
      <c r="BR257" s="240"/>
      <c r="BS257" s="240"/>
      <c r="BT257" s="240"/>
      <c r="BU257" s="240"/>
      <c r="BV257" s="240"/>
      <c r="BW257" s="240"/>
      <c r="BX257" s="240"/>
      <c r="BY257" s="240"/>
      <c r="BZ257" s="240"/>
      <c r="CA257" s="240"/>
      <c r="CB257" s="240"/>
      <c r="CC257" s="240"/>
      <c r="CD257" s="240"/>
      <c r="CE257" s="240"/>
      <c r="CF257" s="231"/>
      <c r="CG257" s="240"/>
      <c r="CH257" s="240"/>
      <c r="CI257" s="240"/>
      <c r="CJ257" s="240"/>
      <c r="CK257" s="240"/>
      <c r="CL257" s="240"/>
      <c r="CM257" s="240"/>
      <c r="CN257" s="240"/>
      <c r="CO257" s="240"/>
      <c r="CP257" s="240"/>
      <c r="CQ257" s="240" t="s">
        <v>890</v>
      </c>
      <c r="CR257" s="240"/>
      <c r="CS257" s="231"/>
      <c r="CT257" s="240"/>
      <c r="CU257" s="240"/>
      <c r="CV257" s="240"/>
      <c r="CW257" s="240"/>
      <c r="CX257" s="240"/>
      <c r="CY257" s="240"/>
      <c r="CZ257" s="240"/>
      <c r="DA257" s="240"/>
      <c r="DB257" s="240"/>
      <c r="DC257" s="240"/>
      <c r="DD257" s="240"/>
      <c r="DE257" s="240"/>
      <c r="DF257" s="231"/>
      <c r="DG257" s="240"/>
      <c r="DH257" s="240"/>
      <c r="DI257" s="240"/>
      <c r="DJ257" s="240"/>
      <c r="DK257" s="240"/>
      <c r="DL257" s="240"/>
      <c r="DM257" s="240"/>
      <c r="DN257" s="240"/>
      <c r="DO257" s="240"/>
      <c r="DP257" s="240"/>
      <c r="DQ257" s="240"/>
      <c r="DR257" s="231"/>
      <c r="DS257" s="240"/>
      <c r="DT257" s="240"/>
      <c r="DU257" s="240"/>
      <c r="DV257" s="231"/>
      <c r="DW257" s="240"/>
      <c r="DX257" s="240"/>
      <c r="DY257" s="240"/>
      <c r="DZ257" s="240"/>
      <c r="EA257" s="240"/>
      <c r="EB257" s="240"/>
      <c r="EC257" s="240"/>
      <c r="ED257" s="240"/>
      <c r="EE257" s="240"/>
      <c r="EF257" s="231"/>
      <c r="EG257" s="240"/>
      <c r="EH257" s="240"/>
      <c r="EI257" s="240"/>
      <c r="EJ257" s="231"/>
      <c r="EK257" s="240"/>
      <c r="EL257" s="231"/>
      <c r="EM257" s="240"/>
      <c r="EN257" s="240"/>
      <c r="EO257" s="240"/>
      <c r="EP257" s="240"/>
      <c r="EQ257" s="240"/>
      <c r="ER257" s="240"/>
      <c r="ES257" s="240"/>
      <c r="ET257" s="240"/>
      <c r="EU257" s="240"/>
      <c r="EV257" s="240"/>
      <c r="EW257" s="240"/>
      <c r="EX257" s="231"/>
      <c r="EY257" s="240"/>
      <c r="EZ257" s="240"/>
      <c r="FA257" s="240"/>
      <c r="FB257" s="240"/>
      <c r="FC257" s="240"/>
      <c r="FD257" s="240"/>
      <c r="FE257" s="240"/>
      <c r="FF257" s="240"/>
      <c r="FG257" s="240"/>
      <c r="FH257" s="240"/>
      <c r="FI257" s="240"/>
      <c r="FJ257" s="240"/>
      <c r="FK257" s="240"/>
      <c r="FL257" s="240"/>
      <c r="FM257" s="240"/>
      <c r="FN257" s="240"/>
      <c r="FO257" s="231"/>
      <c r="FP257" s="240"/>
      <c r="FQ257" s="240"/>
      <c r="FR257" s="240"/>
      <c r="FS257" s="240"/>
      <c r="FT257" s="240"/>
      <c r="FU257" s="240"/>
      <c r="FV257" s="240"/>
      <c r="FW257" s="240"/>
      <c r="FX257" s="240"/>
      <c r="FY257" s="240"/>
      <c r="FZ257" s="231"/>
      <c r="GA257" s="240"/>
      <c r="GB257" s="240"/>
      <c r="GC257" s="231"/>
      <c r="GD257" s="240"/>
      <c r="GE257" s="240"/>
      <c r="GF257" s="240"/>
      <c r="GG257" s="240"/>
      <c r="GH257" s="231"/>
      <c r="GI257" s="240"/>
      <c r="GJ257" s="240"/>
      <c r="GK257" s="240"/>
      <c r="GL257" s="240"/>
      <c r="GM257" s="231"/>
      <c r="GN257" s="240"/>
      <c r="GO257" s="240"/>
      <c r="GP257" s="240"/>
      <c r="GQ257" s="240"/>
      <c r="GR257" s="240"/>
      <c r="GS257" s="240"/>
      <c r="GT257" s="240"/>
      <c r="GU257" s="240"/>
      <c r="GV257" s="240"/>
      <c r="GW257" s="240"/>
      <c r="GX257" s="240"/>
      <c r="GY257" s="240"/>
      <c r="GZ257" s="240"/>
      <c r="HA257" s="240"/>
      <c r="HB257" s="240"/>
      <c r="HC257" s="240"/>
      <c r="HD257" s="231"/>
      <c r="HE257" s="240"/>
      <c r="HF257" s="240"/>
      <c r="HG257" s="240"/>
      <c r="HH257" s="240"/>
      <c r="HI257" s="240"/>
      <c r="HJ257" s="231"/>
      <c r="HK257" s="240"/>
      <c r="HL257" s="231"/>
      <c r="HM257" s="241"/>
      <c r="HN257" s="235"/>
      <c r="HO257" s="235"/>
      <c r="HP257" s="235"/>
      <c r="HQ257" s="235"/>
    </row>
    <row r="258" spans="2:225" hidden="1" outlineLevel="2">
      <c r="B258" s="303" t="s">
        <v>1399</v>
      </c>
      <c r="C258" s="252" t="str">
        <f>IF(D7='3. Dropdowns'!C17,"Hide",IF(D5='3. Dropdowns'!C9,"Hide","Show"))</f>
        <v>Show</v>
      </c>
      <c r="D258" s="236" t="s">
        <v>3329</v>
      </c>
      <c r="E258" s="248"/>
      <c r="F258" s="284" t="str">
        <f>IF(E258='3. Dropdowns'!C358,"","Submittals, Execution")</f>
        <v>Submittals, Execution</v>
      </c>
      <c r="G258" s="230"/>
      <c r="H258" s="238"/>
      <c r="I258" s="239"/>
      <c r="J258" s="240"/>
      <c r="K258" s="240"/>
      <c r="L258" s="240"/>
      <c r="M258" s="240"/>
      <c r="N258" s="240"/>
      <c r="O258" s="240"/>
      <c r="P258" s="240"/>
      <c r="Q258" s="240"/>
      <c r="R258" s="240"/>
      <c r="S258" s="240"/>
      <c r="T258" s="240" t="s">
        <v>890</v>
      </c>
      <c r="U258" s="240"/>
      <c r="V258" s="240"/>
      <c r="W258" s="240"/>
      <c r="X258" s="238"/>
      <c r="Y258" s="240"/>
      <c r="Z258" s="240"/>
      <c r="AA258" s="240"/>
      <c r="AB258" s="240"/>
      <c r="AC258" s="240"/>
      <c r="AD258" s="240"/>
      <c r="AE258" s="240"/>
      <c r="AF258" s="240"/>
      <c r="AG258" s="240"/>
      <c r="AH258" s="238"/>
      <c r="AI258" s="240"/>
      <c r="AJ258" s="240"/>
      <c r="AK258" s="240"/>
      <c r="AL258" s="240"/>
      <c r="AM258" s="238"/>
      <c r="AN258" s="240"/>
      <c r="AO258" s="240"/>
      <c r="AP258" s="240"/>
      <c r="AQ258" s="238"/>
      <c r="AR258" s="240"/>
      <c r="AS258" s="240"/>
      <c r="AT258" s="240"/>
      <c r="AU258" s="240"/>
      <c r="AV258" s="240"/>
      <c r="AW258" s="240"/>
      <c r="AX258" s="240"/>
      <c r="AY258" s="240"/>
      <c r="AZ258" s="238"/>
      <c r="BA258" s="240"/>
      <c r="BB258" s="240"/>
      <c r="BC258" s="240"/>
      <c r="BD258" s="240"/>
      <c r="BE258" s="240"/>
      <c r="BF258" s="240"/>
      <c r="BG258" s="240"/>
      <c r="BH258" s="240"/>
      <c r="BI258" s="240"/>
      <c r="BJ258" s="240"/>
      <c r="BK258" s="240"/>
      <c r="BL258" s="240"/>
      <c r="BM258" s="240"/>
      <c r="BN258" s="240"/>
      <c r="BO258" s="240"/>
      <c r="BP258" s="238"/>
      <c r="BQ258" s="240"/>
      <c r="BR258" s="240"/>
      <c r="BS258" s="240"/>
      <c r="BT258" s="240"/>
      <c r="BU258" s="240"/>
      <c r="BV258" s="240"/>
      <c r="BW258" s="240"/>
      <c r="BX258" s="240"/>
      <c r="BY258" s="240"/>
      <c r="BZ258" s="240"/>
      <c r="CA258" s="240"/>
      <c r="CB258" s="240"/>
      <c r="CC258" s="240"/>
      <c r="CD258" s="240"/>
      <c r="CE258" s="240"/>
      <c r="CF258" s="238"/>
      <c r="CG258" s="240" t="s">
        <v>890</v>
      </c>
      <c r="CH258" s="240"/>
      <c r="CI258" s="240"/>
      <c r="CJ258" s="240"/>
      <c r="CK258" s="240"/>
      <c r="CL258" s="240"/>
      <c r="CM258" s="240"/>
      <c r="CN258" s="240"/>
      <c r="CO258" s="240" t="s">
        <v>890</v>
      </c>
      <c r="CP258" s="240"/>
      <c r="CQ258" s="240"/>
      <c r="CR258" s="240"/>
      <c r="CS258" s="238"/>
      <c r="CT258" s="240"/>
      <c r="CU258" s="240"/>
      <c r="CV258" s="240"/>
      <c r="CW258" s="240"/>
      <c r="CX258" s="240"/>
      <c r="CY258" s="240"/>
      <c r="CZ258" s="240"/>
      <c r="DA258" s="240"/>
      <c r="DB258" s="240"/>
      <c r="DC258" s="240"/>
      <c r="DD258" s="240"/>
      <c r="DE258" s="240"/>
      <c r="DF258" s="238"/>
      <c r="DG258" s="240"/>
      <c r="DH258" s="240"/>
      <c r="DI258" s="240"/>
      <c r="DJ258" s="240"/>
      <c r="DK258" s="240"/>
      <c r="DL258" s="240"/>
      <c r="DM258" s="240"/>
      <c r="DN258" s="240"/>
      <c r="DO258" s="240"/>
      <c r="DP258" s="240"/>
      <c r="DQ258" s="240"/>
      <c r="DR258" s="238"/>
      <c r="DS258" s="240"/>
      <c r="DT258" s="240"/>
      <c r="DU258" s="240"/>
      <c r="DV258" s="238"/>
      <c r="DW258" s="240"/>
      <c r="DX258" s="240"/>
      <c r="DY258" s="240"/>
      <c r="DZ258" s="240"/>
      <c r="EA258" s="240"/>
      <c r="EB258" s="240"/>
      <c r="EC258" s="240"/>
      <c r="ED258" s="240"/>
      <c r="EE258" s="240"/>
      <c r="EF258" s="238"/>
      <c r="EG258" s="240"/>
      <c r="EH258" s="240"/>
      <c r="EI258" s="240"/>
      <c r="EJ258" s="238"/>
      <c r="EK258" s="240"/>
      <c r="EL258" s="238"/>
      <c r="EM258" s="240"/>
      <c r="EN258" s="240"/>
      <c r="EO258" s="240"/>
      <c r="EP258" s="240"/>
      <c r="EQ258" s="240"/>
      <c r="ER258" s="240"/>
      <c r="ES258" s="240"/>
      <c r="ET258" s="240"/>
      <c r="EU258" s="240"/>
      <c r="EV258" s="240"/>
      <c r="EW258" s="240"/>
      <c r="EX258" s="238"/>
      <c r="EY258" s="240"/>
      <c r="EZ258" s="240"/>
      <c r="FA258" s="240"/>
      <c r="FB258" s="240"/>
      <c r="FC258" s="240"/>
      <c r="FD258" s="240"/>
      <c r="FE258" s="240"/>
      <c r="FF258" s="240"/>
      <c r="FG258" s="240"/>
      <c r="FH258" s="240"/>
      <c r="FI258" s="240"/>
      <c r="FJ258" s="240"/>
      <c r="FK258" s="240"/>
      <c r="FL258" s="240"/>
      <c r="FM258" s="240"/>
      <c r="FN258" s="240"/>
      <c r="FO258" s="238"/>
      <c r="FP258" s="240"/>
      <c r="FQ258" s="240"/>
      <c r="FR258" s="240"/>
      <c r="FS258" s="240"/>
      <c r="FT258" s="240"/>
      <c r="FU258" s="240"/>
      <c r="FV258" s="240"/>
      <c r="FW258" s="240"/>
      <c r="FX258" s="240"/>
      <c r="FY258" s="240"/>
      <c r="FZ258" s="238"/>
      <c r="GA258" s="240"/>
      <c r="GB258" s="240"/>
      <c r="GC258" s="238"/>
      <c r="GD258" s="240"/>
      <c r="GE258" s="240"/>
      <c r="GF258" s="240"/>
      <c r="GG258" s="240"/>
      <c r="GH258" s="238"/>
      <c r="GI258" s="240"/>
      <c r="GJ258" s="240"/>
      <c r="GK258" s="240"/>
      <c r="GL258" s="240"/>
      <c r="GM258" s="238"/>
      <c r="GN258" s="240"/>
      <c r="GO258" s="240"/>
      <c r="GP258" s="240"/>
      <c r="GQ258" s="240"/>
      <c r="GR258" s="240"/>
      <c r="GS258" s="240"/>
      <c r="GT258" s="240"/>
      <c r="GU258" s="240"/>
      <c r="GV258" s="240"/>
      <c r="GW258" s="240"/>
      <c r="GX258" s="240"/>
      <c r="GY258" s="240"/>
      <c r="GZ258" s="240"/>
      <c r="HA258" s="240"/>
      <c r="HB258" s="240"/>
      <c r="HC258" s="240"/>
      <c r="HD258" s="238"/>
      <c r="HE258" s="240"/>
      <c r="HF258" s="240"/>
      <c r="HG258" s="240"/>
      <c r="HH258" s="240"/>
      <c r="HI258" s="240"/>
      <c r="HJ258" s="238"/>
      <c r="HK258" s="240"/>
      <c r="HL258" s="238"/>
      <c r="HM258" s="241"/>
      <c r="HN258" s="235"/>
      <c r="HO258" s="235"/>
      <c r="HP258" s="235"/>
      <c r="HQ258" s="235"/>
    </row>
    <row r="259" spans="2:225" hidden="1" outlineLevel="2">
      <c r="B259" s="303" t="s">
        <v>1399</v>
      </c>
      <c r="C259" s="252" t="str">
        <f>IF(D7='3. Dropdowns'!C17,"Hide",IF(D5='3. Dropdowns'!C9,"Hide","Show"))</f>
        <v>Show</v>
      </c>
      <c r="D259" s="236" t="s">
        <v>3330</v>
      </c>
      <c r="E259" s="248"/>
      <c r="F259" s="284" t="str">
        <f>IF(E259='3. Dropdowns'!C358,"","Submittals, Execution")</f>
        <v>Submittals, Execution</v>
      </c>
      <c r="G259" s="230"/>
      <c r="H259" s="238"/>
      <c r="I259" s="239"/>
      <c r="J259" s="240"/>
      <c r="K259" s="240"/>
      <c r="L259" s="240"/>
      <c r="M259" s="240"/>
      <c r="N259" s="240"/>
      <c r="O259" s="240"/>
      <c r="P259" s="240"/>
      <c r="Q259" s="240"/>
      <c r="R259" s="240"/>
      <c r="S259" s="240"/>
      <c r="T259" s="240" t="s">
        <v>890</v>
      </c>
      <c r="U259" s="240"/>
      <c r="V259" s="240"/>
      <c r="W259" s="240"/>
      <c r="X259" s="238"/>
      <c r="Y259" s="240"/>
      <c r="Z259" s="240"/>
      <c r="AA259" s="240"/>
      <c r="AB259" s="240"/>
      <c r="AC259" s="240"/>
      <c r="AD259" s="240"/>
      <c r="AE259" s="240"/>
      <c r="AF259" s="240"/>
      <c r="AG259" s="240"/>
      <c r="AH259" s="238"/>
      <c r="AI259" s="240"/>
      <c r="AJ259" s="240"/>
      <c r="AK259" s="240"/>
      <c r="AL259" s="240"/>
      <c r="AM259" s="238"/>
      <c r="AN259" s="240"/>
      <c r="AO259" s="240"/>
      <c r="AP259" s="240"/>
      <c r="AQ259" s="238"/>
      <c r="AR259" s="240"/>
      <c r="AS259" s="240"/>
      <c r="AT259" s="240"/>
      <c r="AU259" s="240"/>
      <c r="AV259" s="240"/>
      <c r="AW259" s="240"/>
      <c r="AX259" s="240"/>
      <c r="AY259" s="240"/>
      <c r="AZ259" s="238"/>
      <c r="BA259" s="240"/>
      <c r="BB259" s="240"/>
      <c r="BC259" s="240"/>
      <c r="BD259" s="240"/>
      <c r="BE259" s="240"/>
      <c r="BF259" s="240"/>
      <c r="BG259" s="240"/>
      <c r="BH259" s="240"/>
      <c r="BI259" s="240"/>
      <c r="BJ259" s="240"/>
      <c r="BK259" s="240"/>
      <c r="BL259" s="240"/>
      <c r="BM259" s="240"/>
      <c r="BN259" s="240"/>
      <c r="BO259" s="240" t="s">
        <v>890</v>
      </c>
      <c r="BP259" s="238"/>
      <c r="BQ259" s="240"/>
      <c r="BR259" s="240"/>
      <c r="BS259" s="240"/>
      <c r="BT259" s="240"/>
      <c r="BU259" s="240"/>
      <c r="BV259" s="240"/>
      <c r="BW259" s="240"/>
      <c r="BX259" s="240"/>
      <c r="BY259" s="240"/>
      <c r="BZ259" s="240"/>
      <c r="CA259" s="240"/>
      <c r="CB259" s="240"/>
      <c r="CC259" s="240"/>
      <c r="CD259" s="240"/>
      <c r="CE259" s="240"/>
      <c r="CF259" s="238"/>
      <c r="CG259" s="240"/>
      <c r="CH259" s="240"/>
      <c r="CI259" s="240"/>
      <c r="CJ259" s="240"/>
      <c r="CK259" s="240"/>
      <c r="CL259" s="240"/>
      <c r="CM259" s="240"/>
      <c r="CN259" s="240"/>
      <c r="CO259" s="240"/>
      <c r="CP259" s="240"/>
      <c r="CQ259" s="240"/>
      <c r="CR259" s="240"/>
      <c r="CS259" s="238"/>
      <c r="CT259" s="240"/>
      <c r="CU259" s="240"/>
      <c r="CV259" s="240"/>
      <c r="CW259" s="240"/>
      <c r="CX259" s="240"/>
      <c r="CY259" s="240"/>
      <c r="CZ259" s="240"/>
      <c r="DA259" s="240"/>
      <c r="DB259" s="240"/>
      <c r="DC259" s="240"/>
      <c r="DD259" s="240"/>
      <c r="DE259" s="240"/>
      <c r="DF259" s="238"/>
      <c r="DG259" s="240"/>
      <c r="DH259" s="240"/>
      <c r="DI259" s="240"/>
      <c r="DJ259" s="240"/>
      <c r="DK259" s="240"/>
      <c r="DL259" s="240"/>
      <c r="DM259" s="240"/>
      <c r="DN259" s="240"/>
      <c r="DO259" s="240"/>
      <c r="DP259" s="240"/>
      <c r="DQ259" s="240"/>
      <c r="DR259" s="238"/>
      <c r="DS259" s="240"/>
      <c r="DT259" s="240"/>
      <c r="DU259" s="240"/>
      <c r="DV259" s="238"/>
      <c r="DW259" s="240"/>
      <c r="DX259" s="240"/>
      <c r="DY259" s="240"/>
      <c r="DZ259" s="240"/>
      <c r="EA259" s="240"/>
      <c r="EB259" s="240"/>
      <c r="EC259" s="240"/>
      <c r="ED259" s="240"/>
      <c r="EE259" s="240"/>
      <c r="EF259" s="238"/>
      <c r="EG259" s="240"/>
      <c r="EH259" s="240"/>
      <c r="EI259" s="240"/>
      <c r="EJ259" s="238"/>
      <c r="EK259" s="240"/>
      <c r="EL259" s="238"/>
      <c r="EM259" s="240"/>
      <c r="EN259" s="240"/>
      <c r="EO259" s="240"/>
      <c r="EP259" s="240"/>
      <c r="EQ259" s="240"/>
      <c r="ER259" s="240"/>
      <c r="ES259" s="240"/>
      <c r="ET259" s="240"/>
      <c r="EU259" s="240"/>
      <c r="EV259" s="240"/>
      <c r="EW259" s="240"/>
      <c r="EX259" s="238"/>
      <c r="EY259" s="240"/>
      <c r="EZ259" s="240"/>
      <c r="FA259" s="240"/>
      <c r="FB259" s="240"/>
      <c r="FC259" s="240"/>
      <c r="FD259" s="240"/>
      <c r="FE259" s="240"/>
      <c r="FF259" s="240"/>
      <c r="FG259" s="240"/>
      <c r="FH259" s="240"/>
      <c r="FI259" s="240"/>
      <c r="FJ259" s="240"/>
      <c r="FK259" s="240"/>
      <c r="FL259" s="240"/>
      <c r="FM259" s="240"/>
      <c r="FN259" s="240"/>
      <c r="FO259" s="238"/>
      <c r="FP259" s="240"/>
      <c r="FQ259" s="240"/>
      <c r="FR259" s="240"/>
      <c r="FS259" s="240"/>
      <c r="FT259" s="240"/>
      <c r="FU259" s="240"/>
      <c r="FV259" s="240"/>
      <c r="FW259" s="240"/>
      <c r="FX259" s="240"/>
      <c r="FY259" s="240"/>
      <c r="FZ259" s="238"/>
      <c r="GA259" s="240"/>
      <c r="GB259" s="240"/>
      <c r="GC259" s="238"/>
      <c r="GD259" s="240"/>
      <c r="GE259" s="240"/>
      <c r="GF259" s="240"/>
      <c r="GG259" s="240"/>
      <c r="GH259" s="238"/>
      <c r="GI259" s="240"/>
      <c r="GJ259" s="240"/>
      <c r="GK259" s="240"/>
      <c r="GL259" s="240"/>
      <c r="GM259" s="238"/>
      <c r="GN259" s="240"/>
      <c r="GO259" s="240"/>
      <c r="GP259" s="240"/>
      <c r="GQ259" s="240"/>
      <c r="GR259" s="240"/>
      <c r="GS259" s="240"/>
      <c r="GT259" s="240"/>
      <c r="GU259" s="240"/>
      <c r="GV259" s="240"/>
      <c r="GW259" s="240"/>
      <c r="GX259" s="240"/>
      <c r="GY259" s="240"/>
      <c r="GZ259" s="240"/>
      <c r="HA259" s="240"/>
      <c r="HB259" s="240"/>
      <c r="HC259" s="240"/>
      <c r="HD259" s="238"/>
      <c r="HE259" s="240"/>
      <c r="HF259" s="240"/>
      <c r="HG259" s="240"/>
      <c r="HH259" s="240"/>
      <c r="HI259" s="240"/>
      <c r="HJ259" s="238"/>
      <c r="HK259" s="240"/>
      <c r="HL259" s="238"/>
      <c r="HM259" s="241"/>
      <c r="HN259" s="235"/>
      <c r="HO259" s="235"/>
      <c r="HP259" s="235"/>
      <c r="HQ259" s="235"/>
    </row>
    <row r="260" spans="2:225" hidden="1" outlineLevel="2">
      <c r="B260" s="303" t="s">
        <v>1399</v>
      </c>
      <c r="C260" s="252" t="str">
        <f>IF(D7='3. Dropdowns'!C17,"Hide",IF(D5='3. Dropdowns'!C9,"Hide","Show"))</f>
        <v>Show</v>
      </c>
      <c r="D260" s="236" t="s">
        <v>3331</v>
      </c>
      <c r="E260" s="248"/>
      <c r="F260" s="284" t="str">
        <f>IF(E260='3. Dropdowns'!C358,"","Products, Execution")</f>
        <v>Products, Execution</v>
      </c>
      <c r="G260" s="230"/>
      <c r="H260" s="238"/>
      <c r="I260" s="239"/>
      <c r="J260" s="240"/>
      <c r="K260" s="240"/>
      <c r="L260" s="240"/>
      <c r="M260" s="240"/>
      <c r="N260" s="240"/>
      <c r="O260" s="240"/>
      <c r="P260" s="240"/>
      <c r="Q260" s="240"/>
      <c r="R260" s="240"/>
      <c r="S260" s="240"/>
      <c r="T260" s="240" t="s">
        <v>890</v>
      </c>
      <c r="U260" s="240"/>
      <c r="V260" s="240"/>
      <c r="W260" s="240"/>
      <c r="X260" s="238"/>
      <c r="Y260" s="240"/>
      <c r="Z260" s="240"/>
      <c r="AA260" s="240"/>
      <c r="AB260" s="240"/>
      <c r="AC260" s="240"/>
      <c r="AD260" s="240"/>
      <c r="AE260" s="240"/>
      <c r="AF260" s="240"/>
      <c r="AG260" s="240"/>
      <c r="AH260" s="238"/>
      <c r="AI260" s="240"/>
      <c r="AJ260" s="240"/>
      <c r="AK260" s="240"/>
      <c r="AL260" s="240"/>
      <c r="AM260" s="238"/>
      <c r="AN260" s="240"/>
      <c r="AO260" s="240"/>
      <c r="AP260" s="240"/>
      <c r="AQ260" s="238"/>
      <c r="AR260" s="240"/>
      <c r="AS260" s="240"/>
      <c r="AT260" s="240"/>
      <c r="AU260" s="240"/>
      <c r="AV260" s="240"/>
      <c r="AW260" s="240"/>
      <c r="AX260" s="240"/>
      <c r="AY260" s="240"/>
      <c r="AZ260" s="238"/>
      <c r="BA260" s="240"/>
      <c r="BB260" s="240"/>
      <c r="BC260" s="240"/>
      <c r="BD260" s="240"/>
      <c r="BE260" s="240"/>
      <c r="BF260" s="240"/>
      <c r="BG260" s="240"/>
      <c r="BH260" s="240"/>
      <c r="BI260" s="240"/>
      <c r="BJ260" s="240"/>
      <c r="BK260" s="240"/>
      <c r="BL260" s="240"/>
      <c r="BM260" s="240"/>
      <c r="BN260" s="240"/>
      <c r="BO260" s="240"/>
      <c r="BP260" s="238"/>
      <c r="BQ260" s="240"/>
      <c r="BR260" s="240"/>
      <c r="BS260" s="240"/>
      <c r="BT260" s="240"/>
      <c r="BU260" s="240"/>
      <c r="BV260" s="240"/>
      <c r="BW260" s="240"/>
      <c r="BX260" s="240"/>
      <c r="BY260" s="240"/>
      <c r="BZ260" s="240"/>
      <c r="CA260" s="240"/>
      <c r="CB260" s="240"/>
      <c r="CC260" s="240"/>
      <c r="CD260" s="240"/>
      <c r="CE260" s="240"/>
      <c r="CF260" s="238"/>
      <c r="CG260" s="240"/>
      <c r="CH260" s="240"/>
      <c r="CI260" s="240"/>
      <c r="CJ260" s="240"/>
      <c r="CK260" s="240" t="s">
        <v>890</v>
      </c>
      <c r="CL260" s="240" t="s">
        <v>890</v>
      </c>
      <c r="CM260" s="240"/>
      <c r="CN260" s="240"/>
      <c r="CO260" s="240" t="s">
        <v>890</v>
      </c>
      <c r="CP260" s="240"/>
      <c r="CQ260" s="240"/>
      <c r="CR260" s="240"/>
      <c r="CS260" s="238"/>
      <c r="CT260" s="240"/>
      <c r="CU260" s="240"/>
      <c r="CV260" s="240"/>
      <c r="CW260" s="240"/>
      <c r="CX260" s="240"/>
      <c r="CY260" s="240"/>
      <c r="CZ260" s="240"/>
      <c r="DA260" s="240"/>
      <c r="DB260" s="240"/>
      <c r="DC260" s="240"/>
      <c r="DD260" s="240"/>
      <c r="DE260" s="240"/>
      <c r="DF260" s="238"/>
      <c r="DG260" s="240"/>
      <c r="DH260" s="240"/>
      <c r="DI260" s="240"/>
      <c r="DJ260" s="240"/>
      <c r="DK260" s="240"/>
      <c r="DL260" s="240"/>
      <c r="DM260" s="240"/>
      <c r="DN260" s="240"/>
      <c r="DO260" s="240"/>
      <c r="DP260" s="240"/>
      <c r="DQ260" s="240"/>
      <c r="DR260" s="238"/>
      <c r="DS260" s="240"/>
      <c r="DT260" s="240"/>
      <c r="DU260" s="240"/>
      <c r="DV260" s="238"/>
      <c r="DW260" s="240"/>
      <c r="DX260" s="240"/>
      <c r="DY260" s="240"/>
      <c r="DZ260" s="240"/>
      <c r="EA260" s="240"/>
      <c r="EB260" s="240"/>
      <c r="EC260" s="240"/>
      <c r="ED260" s="240"/>
      <c r="EE260" s="240"/>
      <c r="EF260" s="238"/>
      <c r="EG260" s="240"/>
      <c r="EH260" s="240"/>
      <c r="EI260" s="240"/>
      <c r="EJ260" s="238"/>
      <c r="EK260" s="240"/>
      <c r="EL260" s="238"/>
      <c r="EM260" s="240"/>
      <c r="EN260" s="240"/>
      <c r="EO260" s="240"/>
      <c r="EP260" s="240"/>
      <c r="EQ260" s="240"/>
      <c r="ER260" s="240"/>
      <c r="ES260" s="240"/>
      <c r="ET260" s="240"/>
      <c r="EU260" s="240"/>
      <c r="EV260" s="240"/>
      <c r="EW260" s="240"/>
      <c r="EX260" s="238"/>
      <c r="EY260" s="240"/>
      <c r="EZ260" s="240"/>
      <c r="FA260" s="240"/>
      <c r="FB260" s="240"/>
      <c r="FC260" s="240"/>
      <c r="FD260" s="240"/>
      <c r="FE260" s="240"/>
      <c r="FF260" s="240"/>
      <c r="FG260" s="240"/>
      <c r="FH260" s="240"/>
      <c r="FI260" s="240"/>
      <c r="FJ260" s="240"/>
      <c r="FK260" s="240"/>
      <c r="FL260" s="240"/>
      <c r="FM260" s="240"/>
      <c r="FN260" s="240"/>
      <c r="FO260" s="238"/>
      <c r="FP260" s="240"/>
      <c r="FQ260" s="240"/>
      <c r="FR260" s="240"/>
      <c r="FS260" s="240"/>
      <c r="FT260" s="240"/>
      <c r="FU260" s="240"/>
      <c r="FV260" s="240"/>
      <c r="FW260" s="240"/>
      <c r="FX260" s="240"/>
      <c r="FY260" s="240"/>
      <c r="FZ260" s="238"/>
      <c r="GA260" s="240"/>
      <c r="GB260" s="240"/>
      <c r="GC260" s="238"/>
      <c r="GD260" s="240" t="s">
        <v>890</v>
      </c>
      <c r="GE260" s="240" t="s">
        <v>890</v>
      </c>
      <c r="GF260" s="240"/>
      <c r="GG260" s="240"/>
      <c r="GH260" s="238"/>
      <c r="GI260" s="240"/>
      <c r="GJ260" s="240"/>
      <c r="GK260" s="240"/>
      <c r="GL260" s="240"/>
      <c r="GM260" s="238"/>
      <c r="GN260" s="240"/>
      <c r="GO260" s="240"/>
      <c r="GP260" s="240"/>
      <c r="GQ260" s="240"/>
      <c r="GR260" s="240"/>
      <c r="GS260" s="240"/>
      <c r="GT260" s="240"/>
      <c r="GU260" s="240"/>
      <c r="GV260" s="240"/>
      <c r="GW260" s="240" t="s">
        <v>890</v>
      </c>
      <c r="GX260" s="240"/>
      <c r="GY260" s="240"/>
      <c r="GZ260" s="240"/>
      <c r="HA260" s="240"/>
      <c r="HB260" s="240"/>
      <c r="HC260" s="240"/>
      <c r="HD260" s="238"/>
      <c r="HE260" s="240"/>
      <c r="HF260" s="240"/>
      <c r="HG260" s="240"/>
      <c r="HH260" s="240"/>
      <c r="HI260" s="240"/>
      <c r="HJ260" s="238"/>
      <c r="HK260" s="240"/>
      <c r="HL260" s="238"/>
      <c r="HM260" s="241"/>
      <c r="HN260" s="235"/>
      <c r="HO260" s="235"/>
      <c r="HP260" s="235"/>
      <c r="HQ260" s="235"/>
    </row>
    <row r="261" spans="2:225" hidden="1" outlineLevel="2">
      <c r="B261" s="303" t="s">
        <v>1399</v>
      </c>
      <c r="C261" s="252" t="str">
        <f>IF(D7='3. Dropdowns'!C17,"Hide",IF(D5='3. Dropdowns'!C9,"Hide","Show"))</f>
        <v>Show</v>
      </c>
      <c r="D261" s="236" t="s">
        <v>3332</v>
      </c>
      <c r="E261" s="248"/>
      <c r="F261" s="284" t="str">
        <f>IF(E261='3. Dropdowns'!C358,"","Submittals, Execution")</f>
        <v>Submittals, Execution</v>
      </c>
      <c r="G261" s="230"/>
      <c r="H261" s="238"/>
      <c r="I261" s="239"/>
      <c r="J261" s="240"/>
      <c r="K261" s="240"/>
      <c r="L261" s="240"/>
      <c r="M261" s="240"/>
      <c r="N261" s="240"/>
      <c r="O261" s="240"/>
      <c r="P261" s="240"/>
      <c r="Q261" s="240"/>
      <c r="R261" s="240"/>
      <c r="S261" s="240"/>
      <c r="T261" s="240" t="s">
        <v>890</v>
      </c>
      <c r="U261" s="240"/>
      <c r="V261" s="240"/>
      <c r="W261" s="240"/>
      <c r="X261" s="238"/>
      <c r="Y261" s="240"/>
      <c r="Z261" s="240"/>
      <c r="AA261" s="240"/>
      <c r="AB261" s="240"/>
      <c r="AC261" s="240"/>
      <c r="AD261" s="240"/>
      <c r="AE261" s="240"/>
      <c r="AF261" s="240"/>
      <c r="AG261" s="240"/>
      <c r="AH261" s="238"/>
      <c r="AI261" s="240"/>
      <c r="AJ261" s="240"/>
      <c r="AK261" s="240"/>
      <c r="AL261" s="240"/>
      <c r="AM261" s="238"/>
      <c r="AN261" s="240"/>
      <c r="AO261" s="240"/>
      <c r="AP261" s="240"/>
      <c r="AQ261" s="238"/>
      <c r="AR261" s="240"/>
      <c r="AS261" s="240"/>
      <c r="AT261" s="240"/>
      <c r="AU261" s="240"/>
      <c r="AV261" s="240"/>
      <c r="AW261" s="240"/>
      <c r="AX261" s="240"/>
      <c r="AY261" s="240"/>
      <c r="AZ261" s="238"/>
      <c r="BA261" s="240"/>
      <c r="BB261" s="240"/>
      <c r="BC261" s="240"/>
      <c r="BD261" s="240"/>
      <c r="BE261" s="240"/>
      <c r="BF261" s="240"/>
      <c r="BG261" s="240"/>
      <c r="BH261" s="240"/>
      <c r="BI261" s="240"/>
      <c r="BJ261" s="240"/>
      <c r="BK261" s="240"/>
      <c r="BL261" s="240"/>
      <c r="BM261" s="240"/>
      <c r="BN261" s="240"/>
      <c r="BO261" s="240"/>
      <c r="BP261" s="238"/>
      <c r="BQ261" s="240"/>
      <c r="BR261" s="240"/>
      <c r="BS261" s="240"/>
      <c r="BT261" s="240"/>
      <c r="BU261" s="240"/>
      <c r="BV261" s="240"/>
      <c r="BW261" s="240"/>
      <c r="BX261" s="240"/>
      <c r="BY261" s="240"/>
      <c r="BZ261" s="240"/>
      <c r="CA261" s="240"/>
      <c r="CB261" s="240"/>
      <c r="CC261" s="240"/>
      <c r="CD261" s="240"/>
      <c r="CE261" s="240"/>
      <c r="CF261" s="238"/>
      <c r="CG261" s="240"/>
      <c r="CH261" s="240"/>
      <c r="CI261" s="240"/>
      <c r="CJ261" s="240"/>
      <c r="CK261" s="240"/>
      <c r="CL261" s="240"/>
      <c r="CM261" s="240"/>
      <c r="CN261" s="240"/>
      <c r="CO261" s="240"/>
      <c r="CP261" s="240"/>
      <c r="CQ261" s="240"/>
      <c r="CR261" s="240"/>
      <c r="CS261" s="238"/>
      <c r="CT261" s="240"/>
      <c r="CU261" s="240"/>
      <c r="CV261" s="240"/>
      <c r="CW261" s="240"/>
      <c r="CX261" s="240"/>
      <c r="CY261" s="240"/>
      <c r="CZ261" s="240"/>
      <c r="DA261" s="240"/>
      <c r="DB261" s="240"/>
      <c r="DC261" s="240"/>
      <c r="DD261" s="240"/>
      <c r="DE261" s="240"/>
      <c r="DF261" s="238"/>
      <c r="DG261" s="240"/>
      <c r="DH261" s="240"/>
      <c r="DI261" s="240"/>
      <c r="DJ261" s="240"/>
      <c r="DK261" s="240"/>
      <c r="DL261" s="240"/>
      <c r="DM261" s="240"/>
      <c r="DN261" s="240"/>
      <c r="DO261" s="240"/>
      <c r="DP261" s="240"/>
      <c r="DQ261" s="240"/>
      <c r="DR261" s="238"/>
      <c r="DS261" s="240"/>
      <c r="DT261" s="240"/>
      <c r="DU261" s="240"/>
      <c r="DV261" s="238"/>
      <c r="DW261" s="240"/>
      <c r="DX261" s="240"/>
      <c r="DY261" s="240"/>
      <c r="DZ261" s="240"/>
      <c r="EA261" s="240"/>
      <c r="EB261" s="240"/>
      <c r="EC261" s="240"/>
      <c r="ED261" s="240"/>
      <c r="EE261" s="240"/>
      <c r="EF261" s="238"/>
      <c r="EG261" s="240"/>
      <c r="EH261" s="240"/>
      <c r="EI261" s="240"/>
      <c r="EJ261" s="238"/>
      <c r="EK261" s="240"/>
      <c r="EL261" s="238"/>
      <c r="EM261" s="240"/>
      <c r="EN261" s="240"/>
      <c r="EO261" s="240"/>
      <c r="EP261" s="240"/>
      <c r="EQ261" s="240"/>
      <c r="ER261" s="240"/>
      <c r="ES261" s="240"/>
      <c r="ET261" s="240"/>
      <c r="EU261" s="240"/>
      <c r="EV261" s="240"/>
      <c r="EW261" s="240"/>
      <c r="EX261" s="238"/>
      <c r="EY261" s="240"/>
      <c r="EZ261" s="240"/>
      <c r="FA261" s="240"/>
      <c r="FB261" s="240"/>
      <c r="FC261" s="240"/>
      <c r="FD261" s="240"/>
      <c r="FE261" s="240"/>
      <c r="FF261" s="240"/>
      <c r="FG261" s="240"/>
      <c r="FH261" s="240"/>
      <c r="FI261" s="240"/>
      <c r="FJ261" s="240"/>
      <c r="FK261" s="240"/>
      <c r="FL261" s="240"/>
      <c r="FM261" s="240"/>
      <c r="FN261" s="240"/>
      <c r="FO261" s="238"/>
      <c r="FP261" s="240"/>
      <c r="FQ261" s="240"/>
      <c r="FR261" s="240"/>
      <c r="FS261" s="240"/>
      <c r="FT261" s="240"/>
      <c r="FU261" s="240"/>
      <c r="FV261" s="240"/>
      <c r="FW261" s="240"/>
      <c r="FX261" s="240"/>
      <c r="FY261" s="240"/>
      <c r="FZ261" s="238"/>
      <c r="GA261" s="240"/>
      <c r="GB261" s="240"/>
      <c r="GC261" s="238"/>
      <c r="GD261" s="240"/>
      <c r="GE261" s="240"/>
      <c r="GF261" s="240"/>
      <c r="GG261" s="240"/>
      <c r="GH261" s="238"/>
      <c r="GI261" s="240"/>
      <c r="GJ261" s="240"/>
      <c r="GK261" s="240"/>
      <c r="GL261" s="240" t="s">
        <v>890</v>
      </c>
      <c r="GM261" s="238"/>
      <c r="GN261" s="240"/>
      <c r="GO261" s="240"/>
      <c r="GP261" s="240"/>
      <c r="GQ261" s="240"/>
      <c r="GR261" s="240"/>
      <c r="GS261" s="240"/>
      <c r="GT261" s="240"/>
      <c r="GU261" s="240"/>
      <c r="GV261" s="240"/>
      <c r="GW261" s="240"/>
      <c r="GX261" s="240"/>
      <c r="GY261" s="240" t="s">
        <v>890</v>
      </c>
      <c r="GZ261" s="240"/>
      <c r="HA261" s="240"/>
      <c r="HB261" s="240"/>
      <c r="HC261" s="240"/>
      <c r="HD261" s="238"/>
      <c r="HE261" s="240"/>
      <c r="HF261" s="240"/>
      <c r="HG261" s="240"/>
      <c r="HH261" s="240"/>
      <c r="HI261" s="240"/>
      <c r="HJ261" s="238"/>
      <c r="HK261" s="240"/>
      <c r="HL261" s="238"/>
      <c r="HM261" s="241"/>
      <c r="HN261" s="235"/>
      <c r="HO261" s="235"/>
      <c r="HP261" s="235"/>
      <c r="HQ261" s="235"/>
    </row>
    <row r="262" spans="2:225" hidden="1" outlineLevel="2">
      <c r="B262" s="303" t="s">
        <v>1399</v>
      </c>
      <c r="C262" s="252" t="str">
        <f>IF(D7='3. Dropdowns'!C17,"Hide",IF(D5='3. Dropdowns'!C9,"Hide","Show"))</f>
        <v>Show</v>
      </c>
      <c r="D262" s="236" t="s">
        <v>3333</v>
      </c>
      <c r="E262" s="248"/>
      <c r="F262" s="284" t="str">
        <f>IF(E262='3. Dropdowns'!C358,"","Submittals, Execution")</f>
        <v>Submittals, Execution</v>
      </c>
      <c r="G262" s="230"/>
      <c r="H262" s="238"/>
      <c r="I262" s="239"/>
      <c r="J262" s="240"/>
      <c r="K262" s="240"/>
      <c r="L262" s="240"/>
      <c r="M262" s="240"/>
      <c r="N262" s="240"/>
      <c r="O262" s="240"/>
      <c r="P262" s="240"/>
      <c r="Q262" s="240"/>
      <c r="R262" s="240"/>
      <c r="S262" s="240"/>
      <c r="T262" s="240" t="s">
        <v>890</v>
      </c>
      <c r="U262" s="240"/>
      <c r="V262" s="240"/>
      <c r="W262" s="240"/>
      <c r="X262" s="238"/>
      <c r="Y262" s="240"/>
      <c r="Z262" s="240"/>
      <c r="AA262" s="240"/>
      <c r="AB262" s="240"/>
      <c r="AC262" s="240"/>
      <c r="AD262" s="240"/>
      <c r="AE262" s="240"/>
      <c r="AF262" s="240"/>
      <c r="AG262" s="240"/>
      <c r="AH262" s="238"/>
      <c r="AI262" s="240"/>
      <c r="AJ262" s="240"/>
      <c r="AK262" s="240"/>
      <c r="AL262" s="240"/>
      <c r="AM262" s="238"/>
      <c r="AN262" s="240"/>
      <c r="AO262" s="240"/>
      <c r="AP262" s="240"/>
      <c r="AQ262" s="238"/>
      <c r="AR262" s="240"/>
      <c r="AS262" s="240"/>
      <c r="AT262" s="240"/>
      <c r="AU262" s="240"/>
      <c r="AV262" s="240"/>
      <c r="AW262" s="240"/>
      <c r="AX262" s="240"/>
      <c r="AY262" s="240"/>
      <c r="AZ262" s="238"/>
      <c r="BA262" s="240"/>
      <c r="BB262" s="240"/>
      <c r="BC262" s="240"/>
      <c r="BD262" s="240"/>
      <c r="BE262" s="240"/>
      <c r="BF262" s="240"/>
      <c r="BG262" s="240"/>
      <c r="BH262" s="240"/>
      <c r="BI262" s="240"/>
      <c r="BJ262" s="240"/>
      <c r="BK262" s="240"/>
      <c r="BL262" s="240"/>
      <c r="BM262" s="240"/>
      <c r="BN262" s="240"/>
      <c r="BO262" s="240"/>
      <c r="BP262" s="238"/>
      <c r="BQ262" s="240"/>
      <c r="BR262" s="240"/>
      <c r="BS262" s="240"/>
      <c r="BT262" s="240"/>
      <c r="BU262" s="240"/>
      <c r="BV262" s="240"/>
      <c r="BW262" s="240"/>
      <c r="BX262" s="240"/>
      <c r="BY262" s="240"/>
      <c r="BZ262" s="240"/>
      <c r="CA262" s="240"/>
      <c r="CB262" s="240"/>
      <c r="CC262" s="240"/>
      <c r="CD262" s="240"/>
      <c r="CE262" s="240"/>
      <c r="CF262" s="238"/>
      <c r="CG262" s="240"/>
      <c r="CH262" s="240"/>
      <c r="CI262" s="240"/>
      <c r="CJ262" s="240"/>
      <c r="CK262" s="240"/>
      <c r="CL262" s="240"/>
      <c r="CM262" s="240"/>
      <c r="CN262" s="240"/>
      <c r="CO262" s="240"/>
      <c r="CP262" s="240"/>
      <c r="CQ262" s="240"/>
      <c r="CR262" s="240"/>
      <c r="CS262" s="238"/>
      <c r="CT262" s="240"/>
      <c r="CU262" s="240"/>
      <c r="CV262" s="240"/>
      <c r="CW262" s="240"/>
      <c r="CX262" s="240"/>
      <c r="CY262" s="240"/>
      <c r="CZ262" s="240"/>
      <c r="DA262" s="240"/>
      <c r="DB262" s="240"/>
      <c r="DC262" s="240"/>
      <c r="DD262" s="240"/>
      <c r="DE262" s="240"/>
      <c r="DF262" s="238"/>
      <c r="DG262" s="240"/>
      <c r="DH262" s="240"/>
      <c r="DI262" s="240"/>
      <c r="DJ262" s="240"/>
      <c r="DK262" s="240"/>
      <c r="DL262" s="240"/>
      <c r="DM262" s="240"/>
      <c r="DN262" s="240"/>
      <c r="DO262" s="240"/>
      <c r="DP262" s="240"/>
      <c r="DQ262" s="240"/>
      <c r="DR262" s="238"/>
      <c r="DS262" s="240"/>
      <c r="DT262" s="240"/>
      <c r="DU262" s="240"/>
      <c r="DV262" s="238"/>
      <c r="DW262" s="240"/>
      <c r="DX262" s="240"/>
      <c r="DY262" s="240"/>
      <c r="DZ262" s="240"/>
      <c r="EA262" s="240"/>
      <c r="EB262" s="240"/>
      <c r="EC262" s="240"/>
      <c r="ED262" s="240"/>
      <c r="EE262" s="240"/>
      <c r="EF262" s="238"/>
      <c r="EG262" s="240"/>
      <c r="EH262" s="240"/>
      <c r="EI262" s="240"/>
      <c r="EJ262" s="238"/>
      <c r="EK262" s="240"/>
      <c r="EL262" s="238"/>
      <c r="EM262" s="240"/>
      <c r="EN262" s="240"/>
      <c r="EO262" s="240"/>
      <c r="EP262" s="240"/>
      <c r="EQ262" s="240"/>
      <c r="ER262" s="240"/>
      <c r="ES262" s="240"/>
      <c r="ET262" s="240"/>
      <c r="EU262" s="240"/>
      <c r="EV262" s="240"/>
      <c r="EW262" s="240"/>
      <c r="EX262" s="238"/>
      <c r="EY262" s="240"/>
      <c r="EZ262" s="240"/>
      <c r="FA262" s="240"/>
      <c r="FB262" s="240"/>
      <c r="FC262" s="240" t="s">
        <v>890</v>
      </c>
      <c r="FD262" s="240"/>
      <c r="FE262" s="240"/>
      <c r="FF262" s="240"/>
      <c r="FG262" s="240"/>
      <c r="FH262" s="240"/>
      <c r="FI262" s="240"/>
      <c r="FJ262" s="240"/>
      <c r="FK262" s="240"/>
      <c r="FL262" s="240"/>
      <c r="FM262" s="240"/>
      <c r="FN262" s="240"/>
      <c r="FO262" s="238"/>
      <c r="FP262" s="240"/>
      <c r="FQ262" s="240"/>
      <c r="FR262" s="240"/>
      <c r="FS262" s="240"/>
      <c r="FT262" s="240"/>
      <c r="FU262" s="240"/>
      <c r="FV262" s="240"/>
      <c r="FW262" s="240"/>
      <c r="FX262" s="240"/>
      <c r="FY262" s="240"/>
      <c r="FZ262" s="238"/>
      <c r="GA262" s="240"/>
      <c r="GB262" s="240"/>
      <c r="GC262" s="238"/>
      <c r="GD262" s="240"/>
      <c r="GE262" s="240"/>
      <c r="GF262" s="240"/>
      <c r="GG262" s="240"/>
      <c r="GH262" s="238"/>
      <c r="GI262" s="240"/>
      <c r="GJ262" s="240"/>
      <c r="GK262" s="240"/>
      <c r="GL262" s="240"/>
      <c r="GM262" s="238"/>
      <c r="GN262" s="240"/>
      <c r="GO262" s="240"/>
      <c r="GP262" s="240"/>
      <c r="GQ262" s="240"/>
      <c r="GR262" s="240"/>
      <c r="GS262" s="240"/>
      <c r="GT262" s="240"/>
      <c r="GU262" s="240"/>
      <c r="GV262" s="240"/>
      <c r="GW262" s="240"/>
      <c r="GX262" s="240"/>
      <c r="GY262" s="240"/>
      <c r="GZ262" s="240"/>
      <c r="HA262" s="240"/>
      <c r="HB262" s="240"/>
      <c r="HC262" s="240"/>
      <c r="HD262" s="238"/>
      <c r="HE262" s="240"/>
      <c r="HF262" s="240"/>
      <c r="HG262" s="240"/>
      <c r="HH262" s="240"/>
      <c r="HI262" s="240"/>
      <c r="HJ262" s="238"/>
      <c r="HK262" s="240"/>
      <c r="HL262" s="238"/>
      <c r="HM262" s="241"/>
      <c r="HN262" s="235"/>
      <c r="HO262" s="235"/>
      <c r="HP262" s="235"/>
      <c r="HQ262" s="235"/>
    </row>
    <row r="263" spans="2:225" hidden="1" outlineLevel="2">
      <c r="B263" s="303" t="s">
        <v>1399</v>
      </c>
      <c r="C263" s="252" t="str">
        <f>IF(D7='3. Dropdowns'!C17,"Hide",IF(D5='3. Dropdowns'!C9,"Hide","Show"))</f>
        <v>Show</v>
      </c>
      <c r="D263" s="236" t="s">
        <v>3334</v>
      </c>
      <c r="E263" s="248"/>
      <c r="F263" s="284" t="str">
        <f>IF(E263='3. Dropdowns'!C358,"","Submittals, Execution")</f>
        <v>Submittals, Execution</v>
      </c>
      <c r="G263" s="230"/>
      <c r="H263" s="238"/>
      <c r="I263" s="239"/>
      <c r="J263" s="240"/>
      <c r="K263" s="240"/>
      <c r="L263" s="240"/>
      <c r="M263" s="240"/>
      <c r="N263" s="240"/>
      <c r="O263" s="240"/>
      <c r="P263" s="240"/>
      <c r="Q263" s="240"/>
      <c r="R263" s="240"/>
      <c r="S263" s="240"/>
      <c r="T263" s="240" t="s">
        <v>890</v>
      </c>
      <c r="U263" s="240"/>
      <c r="V263" s="240"/>
      <c r="W263" s="240"/>
      <c r="X263" s="238"/>
      <c r="Y263" s="240"/>
      <c r="Z263" s="240"/>
      <c r="AA263" s="240"/>
      <c r="AB263" s="240"/>
      <c r="AC263" s="240"/>
      <c r="AD263" s="240"/>
      <c r="AE263" s="240"/>
      <c r="AF263" s="240"/>
      <c r="AG263" s="240"/>
      <c r="AH263" s="238"/>
      <c r="AI263" s="240"/>
      <c r="AJ263" s="240"/>
      <c r="AK263" s="240"/>
      <c r="AL263" s="240"/>
      <c r="AM263" s="238"/>
      <c r="AN263" s="240"/>
      <c r="AO263" s="240"/>
      <c r="AP263" s="240"/>
      <c r="AQ263" s="238"/>
      <c r="AR263" s="240"/>
      <c r="AS263" s="240"/>
      <c r="AT263" s="240"/>
      <c r="AU263" s="240"/>
      <c r="AV263" s="240"/>
      <c r="AW263" s="240"/>
      <c r="AX263" s="240"/>
      <c r="AY263" s="240"/>
      <c r="AZ263" s="238"/>
      <c r="BA263" s="240"/>
      <c r="BB263" s="240"/>
      <c r="BC263" s="240"/>
      <c r="BD263" s="240"/>
      <c r="BE263" s="240"/>
      <c r="BF263" s="240"/>
      <c r="BG263" s="240"/>
      <c r="BH263" s="240"/>
      <c r="BI263" s="240"/>
      <c r="BJ263" s="240"/>
      <c r="BK263" s="240"/>
      <c r="BL263" s="240"/>
      <c r="BM263" s="240"/>
      <c r="BN263" s="240"/>
      <c r="BO263" s="240"/>
      <c r="BP263" s="238"/>
      <c r="BQ263" s="240"/>
      <c r="BR263" s="240"/>
      <c r="BS263" s="240"/>
      <c r="BT263" s="240"/>
      <c r="BU263" s="240"/>
      <c r="BV263" s="240"/>
      <c r="BW263" s="240"/>
      <c r="BX263" s="240"/>
      <c r="BY263" s="240"/>
      <c r="BZ263" s="240"/>
      <c r="CA263" s="240"/>
      <c r="CB263" s="240"/>
      <c r="CC263" s="240"/>
      <c r="CD263" s="240"/>
      <c r="CE263" s="240"/>
      <c r="CF263" s="238"/>
      <c r="CG263" s="240"/>
      <c r="CH263" s="240"/>
      <c r="CI263" s="240"/>
      <c r="CJ263" s="240"/>
      <c r="CK263" s="240"/>
      <c r="CL263" s="240"/>
      <c r="CM263" s="240"/>
      <c r="CN263" s="240"/>
      <c r="CO263" s="240"/>
      <c r="CP263" s="240"/>
      <c r="CQ263" s="240"/>
      <c r="CR263" s="240"/>
      <c r="CS263" s="238"/>
      <c r="CT263" s="240"/>
      <c r="CU263" s="240"/>
      <c r="CV263" s="240"/>
      <c r="CW263" s="240"/>
      <c r="CX263" s="240"/>
      <c r="CY263" s="240"/>
      <c r="CZ263" s="240"/>
      <c r="DA263" s="240"/>
      <c r="DB263" s="240"/>
      <c r="DC263" s="240"/>
      <c r="DD263" s="240"/>
      <c r="DE263" s="240"/>
      <c r="DF263" s="238"/>
      <c r="DG263" s="240"/>
      <c r="DH263" s="240"/>
      <c r="DI263" s="240"/>
      <c r="DJ263" s="240" t="s">
        <v>890</v>
      </c>
      <c r="DK263" s="240"/>
      <c r="DL263" s="240"/>
      <c r="DM263" s="240"/>
      <c r="DN263" s="240"/>
      <c r="DO263" s="240"/>
      <c r="DP263" s="240"/>
      <c r="DQ263" s="240"/>
      <c r="DR263" s="238"/>
      <c r="DS263" s="240"/>
      <c r="DT263" s="240"/>
      <c r="DU263" s="240"/>
      <c r="DV263" s="238"/>
      <c r="DW263" s="240"/>
      <c r="DX263" s="240"/>
      <c r="DY263" s="240"/>
      <c r="DZ263" s="240"/>
      <c r="EA263" s="240"/>
      <c r="EB263" s="240"/>
      <c r="EC263" s="240"/>
      <c r="ED263" s="240"/>
      <c r="EE263" s="240"/>
      <c r="EF263" s="238"/>
      <c r="EG263" s="240"/>
      <c r="EH263" s="240"/>
      <c r="EI263" s="240"/>
      <c r="EJ263" s="238"/>
      <c r="EK263" s="240"/>
      <c r="EL263" s="238"/>
      <c r="EM263" s="240"/>
      <c r="EN263" s="240"/>
      <c r="EO263" s="240"/>
      <c r="EP263" s="240"/>
      <c r="EQ263" s="240"/>
      <c r="ER263" s="240"/>
      <c r="ES263" s="240"/>
      <c r="ET263" s="240"/>
      <c r="EU263" s="240"/>
      <c r="EV263" s="240"/>
      <c r="EW263" s="240"/>
      <c r="EX263" s="238"/>
      <c r="EY263" s="240"/>
      <c r="EZ263" s="240"/>
      <c r="FA263" s="240"/>
      <c r="FB263" s="240"/>
      <c r="FC263" s="240"/>
      <c r="FD263" s="240"/>
      <c r="FE263" s="240"/>
      <c r="FF263" s="240"/>
      <c r="FG263" s="240"/>
      <c r="FH263" s="240"/>
      <c r="FI263" s="240"/>
      <c r="FJ263" s="240"/>
      <c r="FK263" s="240"/>
      <c r="FL263" s="240"/>
      <c r="FM263" s="240"/>
      <c r="FN263" s="240"/>
      <c r="FO263" s="238"/>
      <c r="FP263" s="240"/>
      <c r="FQ263" s="240"/>
      <c r="FR263" s="240"/>
      <c r="FS263" s="240"/>
      <c r="FT263" s="240"/>
      <c r="FU263" s="240"/>
      <c r="FV263" s="240"/>
      <c r="FW263" s="240"/>
      <c r="FX263" s="240"/>
      <c r="FY263" s="240"/>
      <c r="FZ263" s="238"/>
      <c r="GA263" s="240"/>
      <c r="GB263" s="240"/>
      <c r="GC263" s="238"/>
      <c r="GD263" s="240"/>
      <c r="GE263" s="240" t="s">
        <v>890</v>
      </c>
      <c r="GF263" s="240"/>
      <c r="GG263" s="240"/>
      <c r="GH263" s="238"/>
      <c r="GI263" s="240"/>
      <c r="GJ263" s="240"/>
      <c r="GK263" s="240"/>
      <c r="GL263" s="240"/>
      <c r="GM263" s="238"/>
      <c r="GN263" s="240"/>
      <c r="GO263" s="240"/>
      <c r="GP263" s="240"/>
      <c r="GQ263" s="240"/>
      <c r="GR263" s="240"/>
      <c r="GS263" s="240"/>
      <c r="GT263" s="240"/>
      <c r="GU263" s="240"/>
      <c r="GV263" s="240"/>
      <c r="GW263" s="240"/>
      <c r="GX263" s="240"/>
      <c r="GY263" s="240"/>
      <c r="GZ263" s="240"/>
      <c r="HA263" s="240"/>
      <c r="HB263" s="240"/>
      <c r="HC263" s="240"/>
      <c r="HD263" s="238"/>
      <c r="HE263" s="240"/>
      <c r="HF263" s="240"/>
      <c r="HG263" s="240"/>
      <c r="HH263" s="240"/>
      <c r="HI263" s="240"/>
      <c r="HJ263" s="238"/>
      <c r="HK263" s="240"/>
      <c r="HL263" s="238"/>
      <c r="HM263" s="241"/>
      <c r="HN263" s="235"/>
      <c r="HO263" s="235"/>
      <c r="HP263" s="235"/>
      <c r="HQ263" s="235"/>
    </row>
    <row r="264" spans="2:225" hidden="1" outlineLevel="2">
      <c r="B264" s="303" t="s">
        <v>1399</v>
      </c>
      <c r="C264" s="252" t="str">
        <f>IF(D7='3. Dropdowns'!C17,"Hide",IF(D5='3. Dropdowns'!C9,"Hide","Show"))</f>
        <v>Show</v>
      </c>
      <c r="D264" s="236" t="s">
        <v>3335</v>
      </c>
      <c r="E264" s="248"/>
      <c r="F264" s="284" t="str">
        <f>IF(E264='3. Dropdowns'!C358,"","Submittals, Execution")</f>
        <v>Submittals, Execution</v>
      </c>
      <c r="G264" s="230"/>
      <c r="H264" s="238"/>
      <c r="I264" s="239"/>
      <c r="J264" s="240"/>
      <c r="K264" s="240"/>
      <c r="L264" s="240"/>
      <c r="M264" s="240"/>
      <c r="N264" s="240"/>
      <c r="O264" s="240"/>
      <c r="P264" s="240"/>
      <c r="Q264" s="240"/>
      <c r="R264" s="240"/>
      <c r="S264" s="240"/>
      <c r="T264" s="240" t="s">
        <v>890</v>
      </c>
      <c r="U264" s="240"/>
      <c r="V264" s="240"/>
      <c r="W264" s="240"/>
      <c r="X264" s="238"/>
      <c r="Y264" s="240"/>
      <c r="Z264" s="240"/>
      <c r="AA264" s="240"/>
      <c r="AB264" s="240"/>
      <c r="AC264" s="240"/>
      <c r="AD264" s="240"/>
      <c r="AE264" s="240"/>
      <c r="AF264" s="240"/>
      <c r="AG264" s="240"/>
      <c r="AH264" s="238"/>
      <c r="AI264" s="240"/>
      <c r="AJ264" s="240"/>
      <c r="AK264" s="240"/>
      <c r="AL264" s="240"/>
      <c r="AM264" s="238"/>
      <c r="AN264" s="240"/>
      <c r="AO264" s="240"/>
      <c r="AP264" s="240"/>
      <c r="AQ264" s="238"/>
      <c r="AR264" s="240"/>
      <c r="AS264" s="240"/>
      <c r="AT264" s="240"/>
      <c r="AU264" s="240"/>
      <c r="AV264" s="240"/>
      <c r="AW264" s="240"/>
      <c r="AX264" s="240"/>
      <c r="AY264" s="240"/>
      <c r="AZ264" s="238"/>
      <c r="BA264" s="240"/>
      <c r="BB264" s="240"/>
      <c r="BC264" s="240"/>
      <c r="BD264" s="240"/>
      <c r="BE264" s="240"/>
      <c r="BF264" s="240"/>
      <c r="BG264" s="240"/>
      <c r="BH264" s="240"/>
      <c r="BI264" s="240"/>
      <c r="BJ264" s="240"/>
      <c r="BK264" s="240"/>
      <c r="BL264" s="240"/>
      <c r="BM264" s="240"/>
      <c r="BN264" s="240"/>
      <c r="BO264" s="240"/>
      <c r="BP264" s="238"/>
      <c r="BQ264" s="240"/>
      <c r="BR264" s="240"/>
      <c r="BS264" s="240"/>
      <c r="BT264" s="240"/>
      <c r="BU264" s="240"/>
      <c r="BV264" s="240"/>
      <c r="BW264" s="240"/>
      <c r="BX264" s="240"/>
      <c r="BY264" s="240"/>
      <c r="BZ264" s="240"/>
      <c r="CA264" s="240"/>
      <c r="CB264" s="240"/>
      <c r="CC264" s="240"/>
      <c r="CD264" s="240"/>
      <c r="CE264" s="240"/>
      <c r="CF264" s="238"/>
      <c r="CG264" s="240"/>
      <c r="CH264" s="240"/>
      <c r="CI264" s="240"/>
      <c r="CJ264" s="240"/>
      <c r="CK264" s="240"/>
      <c r="CL264" s="240"/>
      <c r="CM264" s="240"/>
      <c r="CN264" s="240"/>
      <c r="CO264" s="240"/>
      <c r="CP264" s="240"/>
      <c r="CQ264" s="240"/>
      <c r="CR264" s="240"/>
      <c r="CS264" s="238"/>
      <c r="CT264" s="240"/>
      <c r="CU264" s="240"/>
      <c r="CV264" s="240"/>
      <c r="CW264" s="240"/>
      <c r="CX264" s="240"/>
      <c r="CY264" s="240"/>
      <c r="CZ264" s="240"/>
      <c r="DA264" s="240"/>
      <c r="DB264" s="240"/>
      <c r="DC264" s="240"/>
      <c r="DD264" s="240"/>
      <c r="DE264" s="240"/>
      <c r="DF264" s="238"/>
      <c r="DG264" s="240"/>
      <c r="DH264" s="240"/>
      <c r="DI264" s="240"/>
      <c r="DJ264" s="240"/>
      <c r="DK264" s="240"/>
      <c r="DL264" s="240"/>
      <c r="DM264" s="240"/>
      <c r="DN264" s="240"/>
      <c r="DO264" s="240"/>
      <c r="DP264" s="240"/>
      <c r="DQ264" s="240"/>
      <c r="DR264" s="238"/>
      <c r="DS264" s="240"/>
      <c r="DT264" s="240"/>
      <c r="DU264" s="240"/>
      <c r="DV264" s="238"/>
      <c r="DW264" s="240"/>
      <c r="DX264" s="240"/>
      <c r="DY264" s="240"/>
      <c r="DZ264" s="240"/>
      <c r="EA264" s="240"/>
      <c r="EB264" s="240"/>
      <c r="EC264" s="240"/>
      <c r="ED264" s="240"/>
      <c r="EE264" s="240"/>
      <c r="EF264" s="238"/>
      <c r="EG264" s="240"/>
      <c r="EH264" s="240"/>
      <c r="EI264" s="240"/>
      <c r="EJ264" s="238"/>
      <c r="EK264" s="240"/>
      <c r="EL264" s="238"/>
      <c r="EM264" s="240"/>
      <c r="EN264" s="240"/>
      <c r="EO264" s="240"/>
      <c r="EP264" s="240"/>
      <c r="EQ264" s="240"/>
      <c r="ER264" s="240"/>
      <c r="ES264" s="240"/>
      <c r="ET264" s="240"/>
      <c r="EU264" s="240"/>
      <c r="EV264" s="240" t="s">
        <v>890</v>
      </c>
      <c r="EW264" s="240"/>
      <c r="EX264" s="238"/>
      <c r="EY264" s="240"/>
      <c r="EZ264" s="240"/>
      <c r="FA264" s="240"/>
      <c r="FB264" s="240"/>
      <c r="FC264" s="240"/>
      <c r="FD264" s="240"/>
      <c r="FE264" s="240"/>
      <c r="FF264" s="240"/>
      <c r="FG264" s="240"/>
      <c r="FH264" s="240"/>
      <c r="FI264" s="240"/>
      <c r="FJ264" s="240"/>
      <c r="FK264" s="240"/>
      <c r="FL264" s="240"/>
      <c r="FM264" s="240"/>
      <c r="FN264" s="240"/>
      <c r="FO264" s="238"/>
      <c r="FP264" s="240"/>
      <c r="FQ264" s="240"/>
      <c r="FR264" s="240"/>
      <c r="FS264" s="240"/>
      <c r="FT264" s="240"/>
      <c r="FU264" s="240"/>
      <c r="FV264" s="240"/>
      <c r="FW264" s="240"/>
      <c r="FX264" s="240"/>
      <c r="FY264" s="240"/>
      <c r="FZ264" s="238"/>
      <c r="GA264" s="240"/>
      <c r="GB264" s="240"/>
      <c r="GC264" s="238"/>
      <c r="GD264" s="240"/>
      <c r="GE264" s="240"/>
      <c r="GF264" s="240"/>
      <c r="GG264" s="240"/>
      <c r="GH264" s="238"/>
      <c r="GI264" s="240"/>
      <c r="GJ264" s="240"/>
      <c r="GK264" s="240"/>
      <c r="GL264" s="240"/>
      <c r="GM264" s="238"/>
      <c r="GN264" s="240"/>
      <c r="GO264" s="240"/>
      <c r="GP264" s="240"/>
      <c r="GQ264" s="240"/>
      <c r="GR264" s="240"/>
      <c r="GS264" s="240"/>
      <c r="GT264" s="240"/>
      <c r="GU264" s="240"/>
      <c r="GV264" s="240"/>
      <c r="GW264" s="240"/>
      <c r="GX264" s="240"/>
      <c r="GY264" s="240"/>
      <c r="GZ264" s="240"/>
      <c r="HA264" s="240"/>
      <c r="HB264" s="240"/>
      <c r="HC264" s="240"/>
      <c r="HD264" s="238"/>
      <c r="HE264" s="240"/>
      <c r="HF264" s="240"/>
      <c r="HG264" s="240"/>
      <c r="HH264" s="240"/>
      <c r="HI264" s="240"/>
      <c r="HJ264" s="238"/>
      <c r="HK264" s="240"/>
      <c r="HL264" s="238"/>
      <c r="HM264" s="241"/>
      <c r="HN264" s="235"/>
      <c r="HO264" s="235"/>
      <c r="HP264" s="235"/>
      <c r="HQ264" s="235"/>
    </row>
    <row r="265" spans="2:225" hidden="1" outlineLevel="2">
      <c r="B265" s="303" t="s">
        <v>1399</v>
      </c>
      <c r="C265" s="252" t="str">
        <f>IF(D7='3. Dropdowns'!C17,"Hide",IF(D5='3. Dropdowns'!C9,"Hide","Show"))</f>
        <v>Show</v>
      </c>
      <c r="D265" s="236" t="s">
        <v>3336</v>
      </c>
      <c r="E265" s="248"/>
      <c r="F265" s="284" t="str">
        <f>IF(E265='3. Dropdowns'!C361,"","Submittals, Products, Execution")</f>
        <v>Submittals, Products, Execution</v>
      </c>
      <c r="G265" s="230"/>
      <c r="H265" s="242"/>
      <c r="I265" s="239"/>
      <c r="J265" s="240"/>
      <c r="K265" s="240"/>
      <c r="L265" s="240"/>
      <c r="M265" s="240"/>
      <c r="N265" s="240"/>
      <c r="O265" s="240"/>
      <c r="P265" s="240"/>
      <c r="Q265" s="240"/>
      <c r="R265" s="240"/>
      <c r="S265" s="240"/>
      <c r="T265" s="240" t="s">
        <v>890</v>
      </c>
      <c r="U265" s="240"/>
      <c r="V265" s="240"/>
      <c r="W265" s="240"/>
      <c r="X265" s="242"/>
      <c r="Y265" s="240"/>
      <c r="Z265" s="240"/>
      <c r="AA265" s="240"/>
      <c r="AB265" s="240"/>
      <c r="AC265" s="240"/>
      <c r="AD265" s="240"/>
      <c r="AE265" s="240"/>
      <c r="AF265" s="240"/>
      <c r="AG265" s="240"/>
      <c r="AH265" s="242"/>
      <c r="AI265" s="240"/>
      <c r="AJ265" s="240"/>
      <c r="AK265" s="240"/>
      <c r="AL265" s="240"/>
      <c r="AM265" s="242"/>
      <c r="AN265" s="240"/>
      <c r="AO265" s="240"/>
      <c r="AP265" s="240"/>
      <c r="AQ265" s="242"/>
      <c r="AR265" s="240"/>
      <c r="AS265" s="240"/>
      <c r="AT265" s="240"/>
      <c r="AU265" s="240"/>
      <c r="AV265" s="240"/>
      <c r="AW265" s="240"/>
      <c r="AX265" s="240"/>
      <c r="AY265" s="240"/>
      <c r="AZ265" s="242"/>
      <c r="BA265" s="240"/>
      <c r="BB265" s="240"/>
      <c r="BC265" s="240"/>
      <c r="BD265" s="240"/>
      <c r="BE265" s="240"/>
      <c r="BF265" s="240"/>
      <c r="BG265" s="240"/>
      <c r="BH265" s="240"/>
      <c r="BI265" s="240"/>
      <c r="BJ265" s="240"/>
      <c r="BK265" s="240"/>
      <c r="BL265" s="240"/>
      <c r="BM265" s="240"/>
      <c r="BN265" s="240"/>
      <c r="BO265" s="240"/>
      <c r="BP265" s="242"/>
      <c r="BQ265" s="240"/>
      <c r="BR265" s="240"/>
      <c r="BS265" s="240"/>
      <c r="BT265" s="240"/>
      <c r="BU265" s="240"/>
      <c r="BV265" s="240"/>
      <c r="BW265" s="240"/>
      <c r="BX265" s="240"/>
      <c r="BY265" s="240"/>
      <c r="BZ265" s="240"/>
      <c r="CA265" s="240"/>
      <c r="CB265" s="240"/>
      <c r="CC265" s="240"/>
      <c r="CD265" s="240"/>
      <c r="CE265" s="240"/>
      <c r="CF265" s="242"/>
      <c r="CG265" s="240"/>
      <c r="CH265" s="240"/>
      <c r="CI265" s="240"/>
      <c r="CJ265" s="240"/>
      <c r="CK265" s="240"/>
      <c r="CL265" s="240"/>
      <c r="CM265" s="240"/>
      <c r="CN265" s="240"/>
      <c r="CO265" s="240"/>
      <c r="CP265" s="240"/>
      <c r="CQ265" s="240"/>
      <c r="CR265" s="240"/>
      <c r="CS265" s="242"/>
      <c r="CT265" s="240"/>
      <c r="CU265" s="240"/>
      <c r="CV265" s="240"/>
      <c r="CW265" s="240"/>
      <c r="CX265" s="240"/>
      <c r="CY265" s="240"/>
      <c r="CZ265" s="240"/>
      <c r="DA265" s="240"/>
      <c r="DB265" s="240"/>
      <c r="DC265" s="240"/>
      <c r="DD265" s="240"/>
      <c r="DE265" s="240"/>
      <c r="DF265" s="242"/>
      <c r="DG265" s="240"/>
      <c r="DH265" s="240"/>
      <c r="DI265" s="240"/>
      <c r="DJ265" s="240" t="s">
        <v>890</v>
      </c>
      <c r="DK265" s="240" t="s">
        <v>890</v>
      </c>
      <c r="DL265" s="240"/>
      <c r="DM265" s="240"/>
      <c r="DN265" s="240"/>
      <c r="DO265" s="240"/>
      <c r="DP265" s="240"/>
      <c r="DQ265" s="240"/>
      <c r="DR265" s="242"/>
      <c r="DS265" s="240"/>
      <c r="DT265" s="240"/>
      <c r="DU265" s="240"/>
      <c r="DV265" s="242"/>
      <c r="DW265" s="240"/>
      <c r="DX265" s="240"/>
      <c r="DY265" s="240"/>
      <c r="DZ265" s="240"/>
      <c r="EA265" s="240"/>
      <c r="EB265" s="240"/>
      <c r="EC265" s="240"/>
      <c r="ED265" s="240"/>
      <c r="EE265" s="240"/>
      <c r="EF265" s="242"/>
      <c r="EG265" s="240"/>
      <c r="EH265" s="240"/>
      <c r="EI265" s="240"/>
      <c r="EJ265" s="242"/>
      <c r="EK265" s="240"/>
      <c r="EL265" s="242"/>
      <c r="EM265" s="240"/>
      <c r="EN265" s="240"/>
      <c r="EO265" s="240"/>
      <c r="EP265" s="240"/>
      <c r="EQ265" s="240"/>
      <c r="ER265" s="240"/>
      <c r="ES265" s="240"/>
      <c r="ET265" s="240"/>
      <c r="EU265" s="240"/>
      <c r="EV265" s="240"/>
      <c r="EW265" s="240"/>
      <c r="EX265" s="242"/>
      <c r="EY265" s="240"/>
      <c r="EZ265" s="240"/>
      <c r="FA265" s="240"/>
      <c r="FB265" s="240"/>
      <c r="FC265" s="240"/>
      <c r="FD265" s="240"/>
      <c r="FE265" s="240"/>
      <c r="FF265" s="240"/>
      <c r="FG265" s="240"/>
      <c r="FH265" s="240"/>
      <c r="FI265" s="240"/>
      <c r="FJ265" s="240"/>
      <c r="FK265" s="240"/>
      <c r="FL265" s="240"/>
      <c r="FM265" s="240"/>
      <c r="FN265" s="240"/>
      <c r="FO265" s="242"/>
      <c r="FP265" s="240"/>
      <c r="FQ265" s="240"/>
      <c r="FR265" s="240"/>
      <c r="FS265" s="240"/>
      <c r="FT265" s="240"/>
      <c r="FU265" s="240"/>
      <c r="FV265" s="240"/>
      <c r="FW265" s="240"/>
      <c r="FX265" s="240"/>
      <c r="FY265" s="240"/>
      <c r="FZ265" s="242"/>
      <c r="GA265" s="240"/>
      <c r="GB265" s="240"/>
      <c r="GC265" s="242"/>
      <c r="GD265" s="240"/>
      <c r="GE265" s="240"/>
      <c r="GF265" s="240"/>
      <c r="GG265" s="240"/>
      <c r="GH265" s="242"/>
      <c r="GI265" s="240"/>
      <c r="GJ265" s="240"/>
      <c r="GK265" s="240"/>
      <c r="GL265" s="240"/>
      <c r="GM265" s="242"/>
      <c r="GN265" s="240"/>
      <c r="GO265" s="240"/>
      <c r="GP265" s="240"/>
      <c r="GQ265" s="240"/>
      <c r="GR265" s="240"/>
      <c r="GS265" s="240"/>
      <c r="GT265" s="240"/>
      <c r="GU265" s="240"/>
      <c r="GV265" s="240"/>
      <c r="GW265" s="240"/>
      <c r="GX265" s="240"/>
      <c r="GY265" s="240"/>
      <c r="GZ265" s="240"/>
      <c r="HA265" s="240"/>
      <c r="HB265" s="240"/>
      <c r="HC265" s="240"/>
      <c r="HD265" s="242"/>
      <c r="HE265" s="240"/>
      <c r="HF265" s="240"/>
      <c r="HG265" s="240"/>
      <c r="HH265" s="240"/>
      <c r="HI265" s="240"/>
      <c r="HJ265" s="242"/>
      <c r="HK265" s="240"/>
      <c r="HL265" s="242"/>
      <c r="HM265" s="241"/>
      <c r="HN265" s="235"/>
      <c r="HO265" s="235"/>
      <c r="HP265" s="235"/>
      <c r="HQ265" s="235"/>
    </row>
    <row r="266" spans="2:225" hidden="1" outlineLevel="1" collapsed="1">
      <c r="B266" s="303" t="s">
        <v>1399</v>
      </c>
      <c r="C266" s="252" t="str">
        <f>IF(D17='3. Dropdowns'!C27,"Hide",IF(D15='3. Dropdowns'!C19,"Hide","Show"))</f>
        <v>Show</v>
      </c>
      <c r="D266" s="220" t="s">
        <v>114</v>
      </c>
      <c r="E266" s="221"/>
      <c r="F266" s="286"/>
      <c r="G266" s="222"/>
      <c r="H266" s="224"/>
      <c r="I266" s="224"/>
      <c r="J266" s="224"/>
      <c r="K266" s="224"/>
      <c r="L266" s="224"/>
      <c r="M266" s="224"/>
      <c r="N266" s="224"/>
      <c r="O266" s="224"/>
      <c r="P266" s="224"/>
      <c r="Q266" s="224"/>
      <c r="R266" s="224"/>
      <c r="S266" s="224"/>
      <c r="T266" s="224"/>
      <c r="U266" s="224"/>
      <c r="V266" s="224"/>
      <c r="W266" s="224"/>
      <c r="X266" s="224"/>
      <c r="Y266" s="224"/>
      <c r="Z266" s="224"/>
      <c r="AA266" s="224"/>
      <c r="AB266" s="224"/>
      <c r="AC266" s="224"/>
      <c r="AD266" s="224"/>
      <c r="AE266" s="224"/>
      <c r="AF266" s="224"/>
      <c r="AG266" s="224"/>
      <c r="AH266" s="224"/>
      <c r="AI266" s="224"/>
      <c r="AJ266" s="224"/>
      <c r="AK266" s="224"/>
      <c r="AL266" s="224"/>
      <c r="AM266" s="224"/>
      <c r="AN266" s="224"/>
      <c r="AO266" s="224"/>
      <c r="AP266" s="224"/>
      <c r="AQ266" s="224"/>
      <c r="AR266" s="224"/>
      <c r="AS266" s="224"/>
      <c r="AT266" s="224"/>
      <c r="AU266" s="224"/>
      <c r="AV266" s="224"/>
      <c r="AW266" s="224"/>
      <c r="AX266" s="224"/>
      <c r="AY266" s="224"/>
      <c r="AZ266" s="224"/>
      <c r="BA266" s="224"/>
      <c r="BB266" s="224"/>
      <c r="BC266" s="224"/>
      <c r="BD266" s="224"/>
      <c r="BE266" s="224"/>
      <c r="BF266" s="224"/>
      <c r="BG266" s="224"/>
      <c r="BH266" s="224"/>
      <c r="BI266" s="224"/>
      <c r="BJ266" s="224"/>
      <c r="BK266" s="224"/>
      <c r="BL266" s="224"/>
      <c r="BM266" s="224"/>
      <c r="BN266" s="224"/>
      <c r="BO266" s="224"/>
      <c r="BP266" s="224"/>
      <c r="BQ266" s="224"/>
      <c r="BR266" s="224"/>
      <c r="BS266" s="224"/>
      <c r="BT266" s="224"/>
      <c r="BU266" s="224"/>
      <c r="BV266" s="224"/>
      <c r="BW266" s="224"/>
      <c r="BX266" s="224"/>
      <c r="BY266" s="224"/>
      <c r="BZ266" s="224"/>
      <c r="CA266" s="224"/>
      <c r="CB266" s="224"/>
      <c r="CC266" s="224"/>
      <c r="CD266" s="224"/>
      <c r="CE266" s="224"/>
      <c r="CF266" s="224"/>
      <c r="CG266" s="224"/>
      <c r="CH266" s="224"/>
      <c r="CI266" s="224"/>
      <c r="CJ266" s="224"/>
      <c r="CK266" s="224"/>
      <c r="CL266" s="224"/>
      <c r="CM266" s="224"/>
      <c r="CN266" s="224"/>
      <c r="CO266" s="224"/>
      <c r="CP266" s="224"/>
      <c r="CQ266" s="224"/>
      <c r="CR266" s="224"/>
      <c r="CS266" s="224"/>
      <c r="CT266" s="224"/>
      <c r="CU266" s="224"/>
      <c r="CV266" s="224"/>
      <c r="CW266" s="224"/>
      <c r="CX266" s="224"/>
      <c r="CY266" s="224"/>
      <c r="CZ266" s="224"/>
      <c r="DA266" s="224"/>
      <c r="DB266" s="224"/>
      <c r="DC266" s="224"/>
      <c r="DD266" s="224"/>
      <c r="DE266" s="224"/>
      <c r="DF266" s="224"/>
      <c r="DG266" s="224"/>
      <c r="DH266" s="224"/>
      <c r="DI266" s="224"/>
      <c r="DJ266" s="224"/>
      <c r="DK266" s="224"/>
      <c r="DL266" s="224"/>
      <c r="DM266" s="224"/>
      <c r="DN266" s="224"/>
      <c r="DO266" s="224"/>
      <c r="DP266" s="224"/>
      <c r="DQ266" s="224"/>
      <c r="DR266" s="224"/>
      <c r="DS266" s="224"/>
      <c r="DT266" s="224"/>
      <c r="DU266" s="224"/>
      <c r="DV266" s="224"/>
      <c r="DW266" s="224"/>
      <c r="DX266" s="224"/>
      <c r="DY266" s="224"/>
      <c r="DZ266" s="224"/>
      <c r="EA266" s="224"/>
      <c r="EB266" s="224"/>
      <c r="EC266" s="224"/>
      <c r="ED266" s="224"/>
      <c r="EE266" s="224"/>
      <c r="EF266" s="224"/>
      <c r="EG266" s="224"/>
      <c r="EH266" s="224"/>
      <c r="EI266" s="224"/>
      <c r="EJ266" s="224"/>
      <c r="EK266" s="224"/>
      <c r="EL266" s="224"/>
      <c r="EM266" s="224"/>
      <c r="EN266" s="224"/>
      <c r="EO266" s="224"/>
      <c r="EP266" s="224"/>
      <c r="EQ266" s="224"/>
      <c r="ER266" s="224"/>
      <c r="ES266" s="224"/>
      <c r="ET266" s="224"/>
      <c r="EU266" s="224"/>
      <c r="EV266" s="224"/>
      <c r="EW266" s="224"/>
      <c r="EX266" s="224"/>
      <c r="EY266" s="224"/>
      <c r="EZ266" s="224"/>
      <c r="FA266" s="224"/>
      <c r="FB266" s="224"/>
      <c r="FC266" s="224"/>
      <c r="FD266" s="224"/>
      <c r="FE266" s="224"/>
      <c r="FF266" s="224"/>
      <c r="FG266" s="224"/>
      <c r="FH266" s="224"/>
      <c r="FI266" s="224"/>
      <c r="FJ266" s="224"/>
      <c r="FK266" s="224"/>
      <c r="FL266" s="224"/>
      <c r="FM266" s="224"/>
      <c r="FN266" s="224"/>
      <c r="FO266" s="224"/>
      <c r="FP266" s="224"/>
      <c r="FQ266" s="224"/>
      <c r="FR266" s="224"/>
      <c r="FS266" s="224"/>
      <c r="FT266" s="224"/>
      <c r="FU266" s="224"/>
      <c r="FV266" s="224"/>
      <c r="FW266" s="224"/>
      <c r="FX266" s="224"/>
      <c r="FY266" s="224"/>
      <c r="FZ266" s="224"/>
      <c r="GA266" s="224"/>
      <c r="GB266" s="224"/>
      <c r="GC266" s="224"/>
      <c r="GD266" s="224"/>
      <c r="GE266" s="224"/>
      <c r="GF266" s="224"/>
      <c r="GG266" s="224"/>
      <c r="GH266" s="224"/>
      <c r="GI266" s="224"/>
      <c r="GJ266" s="224"/>
      <c r="GK266" s="224"/>
      <c r="GL266" s="224"/>
      <c r="GM266" s="224"/>
      <c r="GN266" s="224"/>
      <c r="GO266" s="224"/>
      <c r="GP266" s="224"/>
      <c r="GQ266" s="224"/>
      <c r="GR266" s="224"/>
      <c r="GS266" s="224"/>
      <c r="GT266" s="224"/>
      <c r="GU266" s="224"/>
      <c r="GV266" s="224"/>
      <c r="GW266" s="224"/>
      <c r="GX266" s="224"/>
      <c r="GY266" s="224"/>
      <c r="GZ266" s="224"/>
      <c r="HA266" s="224"/>
      <c r="HB266" s="224"/>
      <c r="HC266" s="224"/>
      <c r="HD266" s="224"/>
      <c r="HE266" s="224"/>
      <c r="HF266" s="224"/>
      <c r="HG266" s="224"/>
      <c r="HH266" s="224"/>
      <c r="HI266" s="224"/>
      <c r="HJ266" s="224"/>
      <c r="HK266" s="224"/>
      <c r="HL266" s="224"/>
      <c r="HM266" s="265"/>
      <c r="HN266" s="235"/>
      <c r="HO266" s="235"/>
      <c r="HP266" s="235"/>
      <c r="HQ266" s="235"/>
    </row>
    <row r="267" spans="2:225" hidden="1" outlineLevel="2">
      <c r="B267" s="275"/>
      <c r="C267" s="258" t="s">
        <v>116</v>
      </c>
      <c r="D267" s="236" t="s">
        <v>3337</v>
      </c>
      <c r="E267" s="248"/>
      <c r="F267" s="284" t="str">
        <f>IF(E267='3. Dropdowns'!C363,"","Submittals, Products, Execution")</f>
        <v>Submittals, Products, Execution</v>
      </c>
      <c r="G267" s="230"/>
      <c r="H267" s="231"/>
      <c r="I267" s="239"/>
      <c r="J267" s="240"/>
      <c r="K267" s="240"/>
      <c r="L267" s="240"/>
      <c r="M267" s="240"/>
      <c r="N267" s="240"/>
      <c r="O267" s="240"/>
      <c r="P267" s="240"/>
      <c r="Q267" s="240"/>
      <c r="R267" s="240"/>
      <c r="S267" s="240"/>
      <c r="T267" s="240" t="s">
        <v>890</v>
      </c>
      <c r="U267" s="240"/>
      <c r="V267" s="240"/>
      <c r="W267" s="240"/>
      <c r="X267" s="231"/>
      <c r="Y267" s="240"/>
      <c r="Z267" s="240"/>
      <c r="AA267" s="240"/>
      <c r="AB267" s="240"/>
      <c r="AC267" s="240"/>
      <c r="AD267" s="240"/>
      <c r="AE267" s="240"/>
      <c r="AF267" s="240"/>
      <c r="AG267" s="240"/>
      <c r="AH267" s="231"/>
      <c r="AI267" s="240"/>
      <c r="AJ267" s="240"/>
      <c r="AK267" s="240"/>
      <c r="AL267" s="240"/>
      <c r="AM267" s="231"/>
      <c r="AN267" s="240"/>
      <c r="AO267" s="240"/>
      <c r="AP267" s="240"/>
      <c r="AQ267" s="231"/>
      <c r="AR267" s="240"/>
      <c r="AS267" s="240"/>
      <c r="AT267" s="240"/>
      <c r="AU267" s="240"/>
      <c r="AV267" s="240"/>
      <c r="AW267" s="240"/>
      <c r="AX267" s="240"/>
      <c r="AY267" s="240"/>
      <c r="AZ267" s="231"/>
      <c r="BA267" s="240"/>
      <c r="BB267" s="240"/>
      <c r="BC267" s="240"/>
      <c r="BD267" s="240"/>
      <c r="BE267" s="240"/>
      <c r="BF267" s="240"/>
      <c r="BG267" s="240"/>
      <c r="BH267" s="240"/>
      <c r="BI267" s="240"/>
      <c r="BJ267" s="240"/>
      <c r="BK267" s="240"/>
      <c r="BL267" s="240"/>
      <c r="BM267" s="240"/>
      <c r="BN267" s="240"/>
      <c r="BO267" s="240"/>
      <c r="BP267" s="231"/>
      <c r="BQ267" s="240"/>
      <c r="BR267" s="240"/>
      <c r="BS267" s="240"/>
      <c r="BT267" s="240"/>
      <c r="BU267" s="240"/>
      <c r="BV267" s="240"/>
      <c r="BW267" s="240"/>
      <c r="BX267" s="240"/>
      <c r="BY267" s="240"/>
      <c r="BZ267" s="240"/>
      <c r="CA267" s="240"/>
      <c r="CB267" s="240"/>
      <c r="CC267" s="240"/>
      <c r="CD267" s="240"/>
      <c r="CE267" s="240"/>
      <c r="CF267" s="231"/>
      <c r="CG267" s="240"/>
      <c r="CH267" s="240"/>
      <c r="CI267" s="240"/>
      <c r="CJ267" s="240"/>
      <c r="CK267" s="240"/>
      <c r="CL267" s="240"/>
      <c r="CM267" s="240"/>
      <c r="CN267" s="240"/>
      <c r="CO267" s="240"/>
      <c r="CP267" s="240"/>
      <c r="CQ267" s="240"/>
      <c r="CR267" s="240"/>
      <c r="CS267" s="231"/>
      <c r="CT267" s="240"/>
      <c r="CU267" s="240"/>
      <c r="CV267" s="240"/>
      <c r="CW267" s="240"/>
      <c r="CX267" s="240"/>
      <c r="CY267" s="240"/>
      <c r="CZ267" s="240"/>
      <c r="DA267" s="240"/>
      <c r="DB267" s="240"/>
      <c r="DC267" s="240"/>
      <c r="DD267" s="240"/>
      <c r="DE267" s="240"/>
      <c r="DF267" s="231"/>
      <c r="DG267" s="240" t="s">
        <v>890</v>
      </c>
      <c r="DH267" s="240"/>
      <c r="DI267" s="240"/>
      <c r="DJ267" s="240"/>
      <c r="DK267" s="240"/>
      <c r="DL267" s="240"/>
      <c r="DM267" s="240"/>
      <c r="DN267" s="240"/>
      <c r="DO267" s="240"/>
      <c r="DP267" s="240"/>
      <c r="DQ267" s="240"/>
      <c r="DR267" s="231"/>
      <c r="DS267" s="240"/>
      <c r="DT267" s="240"/>
      <c r="DU267" s="240"/>
      <c r="DV267" s="231"/>
      <c r="DW267" s="240"/>
      <c r="DX267" s="240"/>
      <c r="DY267" s="240"/>
      <c r="DZ267" s="240"/>
      <c r="EA267" s="240"/>
      <c r="EB267" s="240"/>
      <c r="EC267" s="240"/>
      <c r="ED267" s="240"/>
      <c r="EE267" s="240"/>
      <c r="EF267" s="231"/>
      <c r="EG267" s="240"/>
      <c r="EH267" s="240"/>
      <c r="EI267" s="240"/>
      <c r="EJ267" s="231"/>
      <c r="EK267" s="240"/>
      <c r="EL267" s="231"/>
      <c r="EM267" s="240"/>
      <c r="EN267" s="240"/>
      <c r="EO267" s="240"/>
      <c r="EP267" s="240"/>
      <c r="EQ267" s="240"/>
      <c r="ER267" s="240"/>
      <c r="ES267" s="240"/>
      <c r="ET267" s="240"/>
      <c r="EU267" s="240"/>
      <c r="EV267" s="240"/>
      <c r="EW267" s="240"/>
      <c r="EX267" s="231"/>
      <c r="EY267" s="240"/>
      <c r="EZ267" s="240"/>
      <c r="FA267" s="240"/>
      <c r="FB267" s="240"/>
      <c r="FC267" s="240"/>
      <c r="FD267" s="240"/>
      <c r="FE267" s="240"/>
      <c r="FF267" s="240"/>
      <c r="FG267" s="240"/>
      <c r="FH267" s="240"/>
      <c r="FI267" s="240"/>
      <c r="FJ267" s="240"/>
      <c r="FK267" s="240"/>
      <c r="FL267" s="240"/>
      <c r="FM267" s="240"/>
      <c r="FN267" s="240"/>
      <c r="FO267" s="231"/>
      <c r="FP267" s="240"/>
      <c r="FQ267" s="240"/>
      <c r="FR267" s="240"/>
      <c r="FS267" s="240"/>
      <c r="FT267" s="240"/>
      <c r="FU267" s="240"/>
      <c r="FV267" s="240"/>
      <c r="FW267" s="240"/>
      <c r="FX267" s="240"/>
      <c r="FY267" s="240"/>
      <c r="FZ267" s="231"/>
      <c r="GA267" s="240"/>
      <c r="GB267" s="240"/>
      <c r="GC267" s="231"/>
      <c r="GD267" s="240"/>
      <c r="GE267" s="240"/>
      <c r="GF267" s="240"/>
      <c r="GG267" s="240"/>
      <c r="GH267" s="231"/>
      <c r="GI267" s="240"/>
      <c r="GJ267" s="240"/>
      <c r="GK267" s="240"/>
      <c r="GL267" s="240"/>
      <c r="GM267" s="231"/>
      <c r="GN267" s="240"/>
      <c r="GO267" s="240"/>
      <c r="GP267" s="240"/>
      <c r="GQ267" s="240"/>
      <c r="GR267" s="240"/>
      <c r="GS267" s="240"/>
      <c r="GT267" s="240"/>
      <c r="GU267" s="240"/>
      <c r="GV267" s="240"/>
      <c r="GW267" s="240"/>
      <c r="GX267" s="240"/>
      <c r="GY267" s="240"/>
      <c r="GZ267" s="240"/>
      <c r="HA267" s="240"/>
      <c r="HB267" s="240"/>
      <c r="HC267" s="240"/>
      <c r="HD267" s="231"/>
      <c r="HE267" s="240"/>
      <c r="HF267" s="240"/>
      <c r="HG267" s="240"/>
      <c r="HH267" s="240"/>
      <c r="HI267" s="240"/>
      <c r="HJ267" s="231"/>
      <c r="HK267" s="240"/>
      <c r="HL267" s="231"/>
      <c r="HM267" s="241"/>
      <c r="HN267" s="235"/>
      <c r="HO267" s="235"/>
      <c r="HP267" s="235"/>
      <c r="HQ267" s="235"/>
    </row>
    <row r="268" spans="2:225" hidden="1" outlineLevel="2">
      <c r="B268" s="275"/>
      <c r="C268" s="258" t="s">
        <v>116</v>
      </c>
      <c r="D268" s="236" t="s">
        <v>3338</v>
      </c>
      <c r="E268" s="248"/>
      <c r="F268" s="284" t="str">
        <f>IF(E268='3. Dropdowns'!C363,"","Submittals, Products, Execution")</f>
        <v>Submittals, Products, Execution</v>
      </c>
      <c r="G268" s="230"/>
      <c r="H268" s="238"/>
      <c r="I268" s="239"/>
      <c r="J268" s="240"/>
      <c r="K268" s="240"/>
      <c r="L268" s="240"/>
      <c r="M268" s="240"/>
      <c r="N268" s="240"/>
      <c r="O268" s="240"/>
      <c r="P268" s="240"/>
      <c r="Q268" s="240"/>
      <c r="R268" s="240"/>
      <c r="S268" s="240"/>
      <c r="T268" s="240" t="s">
        <v>890</v>
      </c>
      <c r="U268" s="240"/>
      <c r="V268" s="240"/>
      <c r="W268" s="240"/>
      <c r="X268" s="238"/>
      <c r="Y268" s="240"/>
      <c r="Z268" s="240"/>
      <c r="AA268" s="240"/>
      <c r="AB268" s="240"/>
      <c r="AC268" s="240"/>
      <c r="AD268" s="240"/>
      <c r="AE268" s="240"/>
      <c r="AF268" s="240"/>
      <c r="AG268" s="240"/>
      <c r="AH268" s="238"/>
      <c r="AI268" s="240"/>
      <c r="AJ268" s="240"/>
      <c r="AK268" s="240"/>
      <c r="AL268" s="240"/>
      <c r="AM268" s="238"/>
      <c r="AN268" s="240"/>
      <c r="AO268" s="240"/>
      <c r="AP268" s="240"/>
      <c r="AQ268" s="238"/>
      <c r="AR268" s="240"/>
      <c r="AS268" s="240"/>
      <c r="AT268" s="240"/>
      <c r="AU268" s="240"/>
      <c r="AV268" s="240"/>
      <c r="AW268" s="240"/>
      <c r="AX268" s="240"/>
      <c r="AY268" s="240"/>
      <c r="AZ268" s="238"/>
      <c r="BA268" s="240"/>
      <c r="BB268" s="240"/>
      <c r="BC268" s="240"/>
      <c r="BD268" s="240"/>
      <c r="BE268" s="240"/>
      <c r="BF268" s="240"/>
      <c r="BG268" s="240"/>
      <c r="BH268" s="240"/>
      <c r="BI268" s="240"/>
      <c r="BJ268" s="240"/>
      <c r="BK268" s="240"/>
      <c r="BL268" s="240"/>
      <c r="BM268" s="240"/>
      <c r="BN268" s="240"/>
      <c r="BO268" s="240"/>
      <c r="BP268" s="238"/>
      <c r="BQ268" s="240"/>
      <c r="BR268" s="240"/>
      <c r="BS268" s="240"/>
      <c r="BT268" s="240"/>
      <c r="BU268" s="240"/>
      <c r="BV268" s="240"/>
      <c r="BW268" s="240"/>
      <c r="BX268" s="240"/>
      <c r="BY268" s="240"/>
      <c r="BZ268" s="240"/>
      <c r="CA268" s="240"/>
      <c r="CB268" s="240"/>
      <c r="CC268" s="240"/>
      <c r="CD268" s="240"/>
      <c r="CE268" s="240"/>
      <c r="CF268" s="238"/>
      <c r="CG268" s="240"/>
      <c r="CH268" s="240"/>
      <c r="CI268" s="240"/>
      <c r="CJ268" s="240"/>
      <c r="CK268" s="240"/>
      <c r="CL268" s="240"/>
      <c r="CM268" s="240"/>
      <c r="CN268" s="240"/>
      <c r="CO268" s="240"/>
      <c r="CP268" s="240"/>
      <c r="CQ268" s="240"/>
      <c r="CR268" s="240"/>
      <c r="CS268" s="238"/>
      <c r="CT268" s="240"/>
      <c r="CU268" s="240"/>
      <c r="CV268" s="240"/>
      <c r="CW268" s="240"/>
      <c r="CX268" s="240" t="s">
        <v>890</v>
      </c>
      <c r="CY268" s="240"/>
      <c r="CZ268" s="240"/>
      <c r="DA268" s="240"/>
      <c r="DB268" s="240"/>
      <c r="DC268" s="240"/>
      <c r="DD268" s="240"/>
      <c r="DE268" s="240"/>
      <c r="DF268" s="238"/>
      <c r="DG268" s="240"/>
      <c r="DH268" s="240"/>
      <c r="DI268" s="240"/>
      <c r="DJ268" s="240"/>
      <c r="DK268" s="240"/>
      <c r="DL268" s="240"/>
      <c r="DM268" s="240"/>
      <c r="DN268" s="240"/>
      <c r="DO268" s="240"/>
      <c r="DP268" s="240"/>
      <c r="DQ268" s="240"/>
      <c r="DR268" s="238"/>
      <c r="DS268" s="240"/>
      <c r="DT268" s="240"/>
      <c r="DU268" s="240"/>
      <c r="DV268" s="238"/>
      <c r="DW268" s="240"/>
      <c r="DX268" s="240"/>
      <c r="DY268" s="240"/>
      <c r="DZ268" s="240"/>
      <c r="EA268" s="240"/>
      <c r="EB268" s="240"/>
      <c r="EC268" s="240"/>
      <c r="ED268" s="240"/>
      <c r="EE268" s="240"/>
      <c r="EF268" s="238"/>
      <c r="EG268" s="240"/>
      <c r="EH268" s="240"/>
      <c r="EI268" s="240"/>
      <c r="EJ268" s="238"/>
      <c r="EK268" s="240"/>
      <c r="EL268" s="238"/>
      <c r="EM268" s="240"/>
      <c r="EN268" s="240"/>
      <c r="EO268" s="240"/>
      <c r="EP268" s="240"/>
      <c r="EQ268" s="240"/>
      <c r="ER268" s="240"/>
      <c r="ES268" s="240"/>
      <c r="ET268" s="240"/>
      <c r="EU268" s="240"/>
      <c r="EV268" s="240"/>
      <c r="EW268" s="240"/>
      <c r="EX268" s="238"/>
      <c r="EY268" s="240"/>
      <c r="EZ268" s="240"/>
      <c r="FA268" s="240"/>
      <c r="FB268" s="240"/>
      <c r="FC268" s="240"/>
      <c r="FD268" s="240"/>
      <c r="FE268" s="240"/>
      <c r="FF268" s="240"/>
      <c r="FG268" s="240"/>
      <c r="FH268" s="240"/>
      <c r="FI268" s="240"/>
      <c r="FJ268" s="240"/>
      <c r="FK268" s="240"/>
      <c r="FL268" s="240"/>
      <c r="FM268" s="240"/>
      <c r="FN268" s="240"/>
      <c r="FO268" s="238"/>
      <c r="FP268" s="240"/>
      <c r="FQ268" s="240"/>
      <c r="FR268" s="240"/>
      <c r="FS268" s="240"/>
      <c r="FT268" s="240"/>
      <c r="FU268" s="240"/>
      <c r="FV268" s="240"/>
      <c r="FW268" s="240"/>
      <c r="FX268" s="240"/>
      <c r="FY268" s="240"/>
      <c r="FZ268" s="238"/>
      <c r="GA268" s="240"/>
      <c r="GB268" s="240"/>
      <c r="GC268" s="238"/>
      <c r="GD268" s="240"/>
      <c r="GE268" s="240"/>
      <c r="GF268" s="240"/>
      <c r="GG268" s="240"/>
      <c r="GH268" s="238"/>
      <c r="GI268" s="240"/>
      <c r="GJ268" s="240"/>
      <c r="GK268" s="240"/>
      <c r="GL268" s="240"/>
      <c r="GM268" s="238"/>
      <c r="GN268" s="240"/>
      <c r="GO268" s="240"/>
      <c r="GP268" s="240"/>
      <c r="GQ268" s="240"/>
      <c r="GR268" s="240"/>
      <c r="GS268" s="240"/>
      <c r="GT268" s="240"/>
      <c r="GU268" s="240"/>
      <c r="GV268" s="240"/>
      <c r="GW268" s="240"/>
      <c r="GX268" s="240"/>
      <c r="GY268" s="240"/>
      <c r="GZ268" s="240"/>
      <c r="HA268" s="240"/>
      <c r="HB268" s="240"/>
      <c r="HC268" s="240"/>
      <c r="HD268" s="238"/>
      <c r="HE268" s="240"/>
      <c r="HF268" s="240"/>
      <c r="HG268" s="240"/>
      <c r="HH268" s="240"/>
      <c r="HI268" s="240"/>
      <c r="HJ268" s="238"/>
      <c r="HK268" s="240"/>
      <c r="HL268" s="238"/>
      <c r="HM268" s="241"/>
      <c r="HN268" s="235"/>
      <c r="HO268" s="235"/>
      <c r="HP268" s="235"/>
      <c r="HQ268" s="235"/>
    </row>
    <row r="269" spans="2:225" hidden="1" outlineLevel="2">
      <c r="B269" s="275"/>
      <c r="C269" s="258" t="s">
        <v>116</v>
      </c>
      <c r="D269" s="236" t="s">
        <v>3339</v>
      </c>
      <c r="E269" s="248"/>
      <c r="F269" s="284" t="str">
        <f>IF(E269='3. Dropdowns'!C363,"","Submittals, Products, Execution")</f>
        <v>Submittals, Products, Execution</v>
      </c>
      <c r="G269" s="230"/>
      <c r="H269" s="238"/>
      <c r="I269" s="239"/>
      <c r="J269" s="240"/>
      <c r="K269" s="240"/>
      <c r="L269" s="240"/>
      <c r="M269" s="240"/>
      <c r="N269" s="240"/>
      <c r="O269" s="240"/>
      <c r="P269" s="240"/>
      <c r="Q269" s="240"/>
      <c r="R269" s="240"/>
      <c r="S269" s="240"/>
      <c r="T269" s="240" t="s">
        <v>890</v>
      </c>
      <c r="U269" s="240"/>
      <c r="V269" s="240"/>
      <c r="W269" s="240"/>
      <c r="X269" s="238"/>
      <c r="Y269" s="240"/>
      <c r="Z269" s="240"/>
      <c r="AA269" s="240"/>
      <c r="AB269" s="240"/>
      <c r="AC269" s="240"/>
      <c r="AD269" s="240"/>
      <c r="AE269" s="240"/>
      <c r="AF269" s="240"/>
      <c r="AG269" s="240"/>
      <c r="AH269" s="238"/>
      <c r="AI269" s="240"/>
      <c r="AJ269" s="240"/>
      <c r="AK269" s="240"/>
      <c r="AL269" s="240"/>
      <c r="AM269" s="238"/>
      <c r="AN269" s="240"/>
      <c r="AO269" s="240"/>
      <c r="AP269" s="240"/>
      <c r="AQ269" s="238"/>
      <c r="AR269" s="240"/>
      <c r="AS269" s="240"/>
      <c r="AT269" s="240"/>
      <c r="AU269" s="240"/>
      <c r="AV269" s="240"/>
      <c r="AW269" s="240"/>
      <c r="AX269" s="240"/>
      <c r="AY269" s="240"/>
      <c r="AZ269" s="238"/>
      <c r="BA269" s="240"/>
      <c r="BB269" s="240"/>
      <c r="BC269" s="240"/>
      <c r="BD269" s="240"/>
      <c r="BE269" s="240"/>
      <c r="BF269" s="240"/>
      <c r="BG269" s="240"/>
      <c r="BH269" s="240"/>
      <c r="BI269" s="240"/>
      <c r="BJ269" s="240"/>
      <c r="BK269" s="240"/>
      <c r="BL269" s="240"/>
      <c r="BM269" s="240"/>
      <c r="BN269" s="240"/>
      <c r="BO269" s="240"/>
      <c r="BP269" s="238"/>
      <c r="BQ269" s="240"/>
      <c r="BR269" s="240"/>
      <c r="BS269" s="240"/>
      <c r="BT269" s="240"/>
      <c r="BU269" s="240"/>
      <c r="BV269" s="240"/>
      <c r="BW269" s="240"/>
      <c r="BX269" s="240"/>
      <c r="BY269" s="240"/>
      <c r="BZ269" s="240"/>
      <c r="CA269" s="240"/>
      <c r="CB269" s="240"/>
      <c r="CC269" s="240"/>
      <c r="CD269" s="240"/>
      <c r="CE269" s="240"/>
      <c r="CF269" s="238"/>
      <c r="CG269" s="240"/>
      <c r="CH269" s="240"/>
      <c r="CI269" s="240"/>
      <c r="CJ269" s="240"/>
      <c r="CK269" s="240"/>
      <c r="CL269" s="240"/>
      <c r="CM269" s="240"/>
      <c r="CN269" s="240"/>
      <c r="CO269" s="240"/>
      <c r="CP269" s="240"/>
      <c r="CQ269" s="240"/>
      <c r="CR269" s="240"/>
      <c r="CS269" s="238"/>
      <c r="CT269" s="240"/>
      <c r="CU269" s="240"/>
      <c r="CV269" s="240"/>
      <c r="CW269" s="240"/>
      <c r="CX269" s="240"/>
      <c r="CY269" s="240"/>
      <c r="CZ269" s="240"/>
      <c r="DA269" s="240"/>
      <c r="DB269" s="240"/>
      <c r="DC269" s="240"/>
      <c r="DD269" s="240"/>
      <c r="DE269" s="240"/>
      <c r="DF269" s="238"/>
      <c r="DG269" s="240"/>
      <c r="DH269" s="240"/>
      <c r="DI269" s="240"/>
      <c r="DJ269" s="240"/>
      <c r="DK269" s="240"/>
      <c r="DL269" s="240"/>
      <c r="DM269" s="240"/>
      <c r="DN269" s="240"/>
      <c r="DO269" s="240"/>
      <c r="DP269" s="240"/>
      <c r="DQ269" s="240"/>
      <c r="DR269" s="238"/>
      <c r="DS269" s="240"/>
      <c r="DT269" s="240"/>
      <c r="DU269" s="240"/>
      <c r="DV269" s="238"/>
      <c r="DW269" s="240"/>
      <c r="DX269" s="240"/>
      <c r="DY269" s="240"/>
      <c r="DZ269" s="240"/>
      <c r="EA269" s="240"/>
      <c r="EB269" s="240"/>
      <c r="EC269" s="240"/>
      <c r="ED269" s="240"/>
      <c r="EE269" s="240"/>
      <c r="EF269" s="238"/>
      <c r="EG269" s="240"/>
      <c r="EH269" s="240"/>
      <c r="EI269" s="240"/>
      <c r="EJ269" s="238"/>
      <c r="EK269" s="240"/>
      <c r="EL269" s="238"/>
      <c r="EM269" s="240"/>
      <c r="EN269" s="240"/>
      <c r="EO269" s="240"/>
      <c r="EP269" s="240"/>
      <c r="EQ269" s="240"/>
      <c r="ER269" s="240"/>
      <c r="ES269" s="240"/>
      <c r="ET269" s="240"/>
      <c r="EU269" s="240"/>
      <c r="EV269" s="240"/>
      <c r="EW269" s="240"/>
      <c r="EX269" s="238"/>
      <c r="EY269" s="240"/>
      <c r="EZ269" s="240"/>
      <c r="FA269" s="240"/>
      <c r="FB269" s="240"/>
      <c r="FC269" s="240"/>
      <c r="FD269" s="240"/>
      <c r="FE269" s="240"/>
      <c r="FF269" s="240"/>
      <c r="FG269" s="240"/>
      <c r="FH269" s="240"/>
      <c r="FI269" s="240"/>
      <c r="FJ269" s="240"/>
      <c r="FK269" s="240"/>
      <c r="FL269" s="240"/>
      <c r="FM269" s="240"/>
      <c r="FN269" s="240"/>
      <c r="FO269" s="238"/>
      <c r="FP269" s="240"/>
      <c r="FQ269" s="240"/>
      <c r="FR269" s="240"/>
      <c r="FS269" s="240"/>
      <c r="FT269" s="240" t="s">
        <v>890</v>
      </c>
      <c r="FU269" s="240"/>
      <c r="FV269" s="240"/>
      <c r="FW269" s="240" t="s">
        <v>890</v>
      </c>
      <c r="FX269" s="240"/>
      <c r="FY269" s="240"/>
      <c r="FZ269" s="238"/>
      <c r="GA269" s="240"/>
      <c r="GB269" s="240"/>
      <c r="GC269" s="238"/>
      <c r="GD269" s="240"/>
      <c r="GE269" s="240"/>
      <c r="GF269" s="240"/>
      <c r="GG269" s="240"/>
      <c r="GH269" s="238"/>
      <c r="GI269" s="240"/>
      <c r="GJ269" s="240"/>
      <c r="GK269" s="240"/>
      <c r="GL269" s="240"/>
      <c r="GM269" s="238"/>
      <c r="GN269" s="240"/>
      <c r="GO269" s="240"/>
      <c r="GP269" s="240"/>
      <c r="GQ269" s="240"/>
      <c r="GR269" s="240"/>
      <c r="GS269" s="240"/>
      <c r="GT269" s="240"/>
      <c r="GU269" s="240"/>
      <c r="GV269" s="240"/>
      <c r="GW269" s="240"/>
      <c r="GX269" s="240"/>
      <c r="GY269" s="240"/>
      <c r="GZ269" s="240"/>
      <c r="HA269" s="240"/>
      <c r="HB269" s="240"/>
      <c r="HC269" s="240"/>
      <c r="HD269" s="238"/>
      <c r="HE269" s="240"/>
      <c r="HF269" s="240"/>
      <c r="HG269" s="240"/>
      <c r="HH269" s="240"/>
      <c r="HI269" s="240"/>
      <c r="HJ269" s="238"/>
      <c r="HK269" s="240"/>
      <c r="HL269" s="238"/>
      <c r="HM269" s="241"/>
      <c r="HN269" s="235"/>
      <c r="HO269" s="235"/>
      <c r="HP269" s="235"/>
      <c r="HQ269" s="235"/>
    </row>
    <row r="270" spans="2:225" hidden="1" outlineLevel="2">
      <c r="B270" s="275"/>
      <c r="C270" s="258" t="s">
        <v>116</v>
      </c>
      <c r="D270" s="236" t="s">
        <v>3340</v>
      </c>
      <c r="E270" s="248"/>
      <c r="F270" s="284" t="str">
        <f>IF(E270='3. Dropdowns'!C363,"","Submittals, Products, Execution")</f>
        <v>Submittals, Products, Execution</v>
      </c>
      <c r="G270" s="230"/>
      <c r="H270" s="238"/>
      <c r="I270" s="239"/>
      <c r="J270" s="240"/>
      <c r="K270" s="240"/>
      <c r="L270" s="240"/>
      <c r="M270" s="240"/>
      <c r="N270" s="240"/>
      <c r="O270" s="240"/>
      <c r="P270" s="240"/>
      <c r="Q270" s="240"/>
      <c r="R270" s="240"/>
      <c r="S270" s="240"/>
      <c r="T270" s="240" t="s">
        <v>890</v>
      </c>
      <c r="U270" s="240"/>
      <c r="V270" s="240"/>
      <c r="W270" s="240"/>
      <c r="X270" s="238"/>
      <c r="Y270" s="240"/>
      <c r="Z270" s="240"/>
      <c r="AA270" s="240"/>
      <c r="AB270" s="240"/>
      <c r="AC270" s="240"/>
      <c r="AD270" s="240"/>
      <c r="AE270" s="240"/>
      <c r="AF270" s="240"/>
      <c r="AG270" s="240"/>
      <c r="AH270" s="238"/>
      <c r="AI270" s="240"/>
      <c r="AJ270" s="240"/>
      <c r="AK270" s="240"/>
      <c r="AL270" s="240"/>
      <c r="AM270" s="238"/>
      <c r="AN270" s="240"/>
      <c r="AO270" s="240"/>
      <c r="AP270" s="240"/>
      <c r="AQ270" s="238"/>
      <c r="AR270" s="240"/>
      <c r="AS270" s="240"/>
      <c r="AT270" s="240"/>
      <c r="AU270" s="240"/>
      <c r="AV270" s="240"/>
      <c r="AW270" s="240"/>
      <c r="AX270" s="240"/>
      <c r="AY270" s="240"/>
      <c r="AZ270" s="238"/>
      <c r="BA270" s="240"/>
      <c r="BB270" s="240"/>
      <c r="BC270" s="240"/>
      <c r="BD270" s="240"/>
      <c r="BE270" s="240"/>
      <c r="BF270" s="240"/>
      <c r="BG270" s="240"/>
      <c r="BH270" s="240"/>
      <c r="BI270" s="240"/>
      <c r="BJ270" s="240"/>
      <c r="BK270" s="240"/>
      <c r="BL270" s="240"/>
      <c r="BM270" s="240"/>
      <c r="BN270" s="240"/>
      <c r="BO270" s="240"/>
      <c r="BP270" s="238"/>
      <c r="BQ270" s="240"/>
      <c r="BR270" s="240"/>
      <c r="BS270" s="240"/>
      <c r="BT270" s="240"/>
      <c r="BU270" s="240"/>
      <c r="BV270" s="240"/>
      <c r="BW270" s="240"/>
      <c r="BX270" s="240"/>
      <c r="BY270" s="240"/>
      <c r="BZ270" s="240"/>
      <c r="CA270" s="240"/>
      <c r="CB270" s="240"/>
      <c r="CC270" s="240"/>
      <c r="CD270" s="240"/>
      <c r="CE270" s="240"/>
      <c r="CF270" s="238"/>
      <c r="CG270" s="240"/>
      <c r="CH270" s="240"/>
      <c r="CI270" s="240"/>
      <c r="CJ270" s="240"/>
      <c r="CK270" s="240"/>
      <c r="CL270" s="240"/>
      <c r="CM270" s="240"/>
      <c r="CN270" s="240"/>
      <c r="CO270" s="240"/>
      <c r="CP270" s="240"/>
      <c r="CQ270" s="240"/>
      <c r="CR270" s="240"/>
      <c r="CS270" s="238"/>
      <c r="CT270" s="240"/>
      <c r="CU270" s="240"/>
      <c r="CV270" s="240"/>
      <c r="CW270" s="240"/>
      <c r="CX270" s="240"/>
      <c r="CY270" s="240"/>
      <c r="CZ270" s="240"/>
      <c r="DA270" s="240"/>
      <c r="DB270" s="240"/>
      <c r="DC270" s="240"/>
      <c r="DD270" s="240"/>
      <c r="DE270" s="240"/>
      <c r="DF270" s="238"/>
      <c r="DG270" s="240"/>
      <c r="DH270" s="240"/>
      <c r="DI270" s="240"/>
      <c r="DJ270" s="240"/>
      <c r="DK270" s="240"/>
      <c r="DL270" s="240"/>
      <c r="DM270" s="240"/>
      <c r="DN270" s="240"/>
      <c r="DO270" s="240"/>
      <c r="DP270" s="240"/>
      <c r="DQ270" s="240"/>
      <c r="DR270" s="238"/>
      <c r="DS270" s="240"/>
      <c r="DT270" s="240"/>
      <c r="DU270" s="240"/>
      <c r="DV270" s="238"/>
      <c r="DW270" s="240"/>
      <c r="DX270" s="240"/>
      <c r="DY270" s="240"/>
      <c r="DZ270" s="240"/>
      <c r="EA270" s="240"/>
      <c r="EB270" s="240"/>
      <c r="EC270" s="240" t="s">
        <v>890</v>
      </c>
      <c r="ED270" s="240"/>
      <c r="EE270" s="240"/>
      <c r="EF270" s="238"/>
      <c r="EG270" s="240"/>
      <c r="EH270" s="240"/>
      <c r="EI270" s="240"/>
      <c r="EJ270" s="238"/>
      <c r="EK270" s="240"/>
      <c r="EL270" s="238"/>
      <c r="EM270" s="240"/>
      <c r="EN270" s="240"/>
      <c r="EO270" s="240"/>
      <c r="EP270" s="240"/>
      <c r="EQ270" s="240"/>
      <c r="ER270" s="240"/>
      <c r="ES270" s="240"/>
      <c r="ET270" s="240"/>
      <c r="EU270" s="240"/>
      <c r="EV270" s="240"/>
      <c r="EW270" s="240"/>
      <c r="EX270" s="238"/>
      <c r="EY270" s="240"/>
      <c r="EZ270" s="240"/>
      <c r="FA270" s="240"/>
      <c r="FB270" s="240"/>
      <c r="FC270" s="240"/>
      <c r="FD270" s="240"/>
      <c r="FE270" s="240"/>
      <c r="FF270" s="240"/>
      <c r="FG270" s="240"/>
      <c r="FH270" s="240"/>
      <c r="FI270" s="240"/>
      <c r="FJ270" s="240"/>
      <c r="FK270" s="240"/>
      <c r="FL270" s="240"/>
      <c r="FM270" s="240"/>
      <c r="FN270" s="240"/>
      <c r="FO270" s="238"/>
      <c r="FP270" s="240"/>
      <c r="FQ270" s="240"/>
      <c r="FR270" s="240"/>
      <c r="FS270" s="240"/>
      <c r="FT270" s="240"/>
      <c r="FU270" s="240"/>
      <c r="FV270" s="240"/>
      <c r="FW270" s="240"/>
      <c r="FX270" s="240"/>
      <c r="FY270" s="240"/>
      <c r="FZ270" s="238"/>
      <c r="GA270" s="240"/>
      <c r="GB270" s="240"/>
      <c r="GC270" s="238"/>
      <c r="GD270" s="240"/>
      <c r="GE270" s="240"/>
      <c r="GF270" s="240"/>
      <c r="GG270" s="240"/>
      <c r="GH270" s="238"/>
      <c r="GI270" s="240"/>
      <c r="GJ270" s="240"/>
      <c r="GK270" s="240"/>
      <c r="GL270" s="240"/>
      <c r="GM270" s="238"/>
      <c r="GN270" s="240"/>
      <c r="GO270" s="240"/>
      <c r="GP270" s="240"/>
      <c r="GQ270" s="240"/>
      <c r="GR270" s="240"/>
      <c r="GS270" s="240"/>
      <c r="GT270" s="240"/>
      <c r="GU270" s="240"/>
      <c r="GV270" s="240"/>
      <c r="GW270" s="240"/>
      <c r="GX270" s="240"/>
      <c r="GY270" s="240"/>
      <c r="GZ270" s="240"/>
      <c r="HA270" s="240"/>
      <c r="HB270" s="240"/>
      <c r="HC270" s="240"/>
      <c r="HD270" s="238"/>
      <c r="HE270" s="240"/>
      <c r="HF270" s="240"/>
      <c r="HG270" s="240"/>
      <c r="HH270" s="240"/>
      <c r="HI270" s="240"/>
      <c r="HJ270" s="238"/>
      <c r="HK270" s="240"/>
      <c r="HL270" s="238"/>
      <c r="HM270" s="241"/>
      <c r="HN270" s="235"/>
      <c r="HO270" s="235"/>
      <c r="HP270" s="235"/>
      <c r="HQ270" s="235"/>
    </row>
    <row r="271" spans="2:225" hidden="1" outlineLevel="2">
      <c r="B271" s="275"/>
      <c r="C271" s="258" t="s">
        <v>116</v>
      </c>
      <c r="D271" s="236" t="s">
        <v>3341</v>
      </c>
      <c r="E271" s="248"/>
      <c r="F271" s="284" t="str">
        <f>IF(E271='3. Dropdowns'!C363,"","Submittals")</f>
        <v>Submittals</v>
      </c>
      <c r="G271" s="230"/>
      <c r="H271" s="238"/>
      <c r="I271" s="239"/>
      <c r="J271" s="240"/>
      <c r="K271" s="240"/>
      <c r="L271" s="240"/>
      <c r="M271" s="240"/>
      <c r="N271" s="240"/>
      <c r="O271" s="240"/>
      <c r="P271" s="240"/>
      <c r="Q271" s="240"/>
      <c r="R271" s="240"/>
      <c r="S271" s="240"/>
      <c r="T271" s="240" t="s">
        <v>890</v>
      </c>
      <c r="U271" s="240"/>
      <c r="V271" s="240"/>
      <c r="W271" s="240"/>
      <c r="X271" s="238"/>
      <c r="Y271" s="240"/>
      <c r="Z271" s="240"/>
      <c r="AA271" s="240"/>
      <c r="AB271" s="240"/>
      <c r="AC271" s="240"/>
      <c r="AD271" s="240"/>
      <c r="AE271" s="240"/>
      <c r="AF271" s="240"/>
      <c r="AG271" s="240"/>
      <c r="AH271" s="238"/>
      <c r="AI271" s="240"/>
      <c r="AJ271" s="240"/>
      <c r="AK271" s="240"/>
      <c r="AL271" s="240"/>
      <c r="AM271" s="238"/>
      <c r="AN271" s="240"/>
      <c r="AO271" s="240"/>
      <c r="AP271" s="240"/>
      <c r="AQ271" s="238"/>
      <c r="AR271" s="240"/>
      <c r="AS271" s="240"/>
      <c r="AT271" s="240"/>
      <c r="AU271" s="240"/>
      <c r="AV271" s="240"/>
      <c r="AW271" s="240"/>
      <c r="AX271" s="240"/>
      <c r="AY271" s="240"/>
      <c r="AZ271" s="238"/>
      <c r="BA271" s="240"/>
      <c r="BB271" s="240"/>
      <c r="BC271" s="240"/>
      <c r="BD271" s="240"/>
      <c r="BE271" s="240"/>
      <c r="BF271" s="240"/>
      <c r="BG271" s="240"/>
      <c r="BH271" s="240"/>
      <c r="BI271" s="240"/>
      <c r="BJ271" s="240"/>
      <c r="BK271" s="240"/>
      <c r="BL271" s="240"/>
      <c r="BM271" s="240"/>
      <c r="BN271" s="240"/>
      <c r="BO271" s="240"/>
      <c r="BP271" s="238"/>
      <c r="BQ271" s="240"/>
      <c r="BR271" s="240"/>
      <c r="BS271" s="240"/>
      <c r="BT271" s="240"/>
      <c r="BU271" s="240"/>
      <c r="BV271" s="240"/>
      <c r="BW271" s="240"/>
      <c r="BX271" s="240"/>
      <c r="BY271" s="240"/>
      <c r="BZ271" s="240"/>
      <c r="CA271" s="240"/>
      <c r="CB271" s="240"/>
      <c r="CC271" s="240"/>
      <c r="CD271" s="240"/>
      <c r="CE271" s="240"/>
      <c r="CF271" s="238"/>
      <c r="CG271" s="240"/>
      <c r="CH271" s="240"/>
      <c r="CI271" s="240"/>
      <c r="CJ271" s="240"/>
      <c r="CK271" s="240"/>
      <c r="CL271" s="240"/>
      <c r="CM271" s="240"/>
      <c r="CN271" s="240"/>
      <c r="CO271" s="240"/>
      <c r="CP271" s="240"/>
      <c r="CQ271" s="240"/>
      <c r="CR271" s="240"/>
      <c r="CS271" s="238"/>
      <c r="CT271" s="240"/>
      <c r="CU271" s="240"/>
      <c r="CV271" s="240"/>
      <c r="CW271" s="240"/>
      <c r="CX271" s="240"/>
      <c r="CY271" s="240"/>
      <c r="CZ271" s="240"/>
      <c r="DA271" s="240"/>
      <c r="DB271" s="240"/>
      <c r="DC271" s="240"/>
      <c r="DD271" s="240"/>
      <c r="DE271" s="240"/>
      <c r="DF271" s="238"/>
      <c r="DG271" s="240"/>
      <c r="DH271" s="240"/>
      <c r="DI271" s="240"/>
      <c r="DJ271" s="240"/>
      <c r="DK271" s="240"/>
      <c r="DL271" s="240"/>
      <c r="DM271" s="240"/>
      <c r="DN271" s="240"/>
      <c r="DO271" s="240"/>
      <c r="DP271" s="240"/>
      <c r="DQ271" s="240"/>
      <c r="DR271" s="238"/>
      <c r="DS271" s="240"/>
      <c r="DT271" s="240"/>
      <c r="DU271" s="240"/>
      <c r="DV271" s="238"/>
      <c r="DW271" s="240"/>
      <c r="DX271" s="240"/>
      <c r="DY271" s="240"/>
      <c r="DZ271" s="240"/>
      <c r="EA271" s="240"/>
      <c r="EB271" s="240"/>
      <c r="EC271" s="240"/>
      <c r="ED271" s="240"/>
      <c r="EE271" s="240"/>
      <c r="EF271" s="238"/>
      <c r="EG271" s="240"/>
      <c r="EH271" s="240"/>
      <c r="EI271" s="240"/>
      <c r="EJ271" s="238"/>
      <c r="EK271" s="240"/>
      <c r="EL271" s="238"/>
      <c r="EM271" s="240"/>
      <c r="EN271" s="240"/>
      <c r="EO271" s="240"/>
      <c r="EP271" s="240"/>
      <c r="EQ271" s="240"/>
      <c r="ER271" s="240"/>
      <c r="ES271" s="240"/>
      <c r="ET271" s="240"/>
      <c r="EU271" s="240"/>
      <c r="EV271" s="240"/>
      <c r="EW271" s="240"/>
      <c r="EX271" s="238"/>
      <c r="EY271" s="240"/>
      <c r="EZ271" s="240"/>
      <c r="FA271" s="240"/>
      <c r="FB271" s="240"/>
      <c r="FC271" s="240"/>
      <c r="FD271" s="240"/>
      <c r="FE271" s="240"/>
      <c r="FF271" s="240"/>
      <c r="FG271" s="240"/>
      <c r="FH271" s="240"/>
      <c r="FI271" s="240"/>
      <c r="FJ271" s="240"/>
      <c r="FK271" s="240"/>
      <c r="FL271" s="240"/>
      <c r="FM271" s="240"/>
      <c r="FN271" s="240"/>
      <c r="FO271" s="238"/>
      <c r="FP271" s="240"/>
      <c r="FQ271" s="240"/>
      <c r="FR271" s="240"/>
      <c r="FS271" s="240"/>
      <c r="FT271" s="240"/>
      <c r="FU271" s="240"/>
      <c r="FV271" s="240"/>
      <c r="FW271" s="240"/>
      <c r="FX271" s="240"/>
      <c r="FY271" s="240"/>
      <c r="FZ271" s="238"/>
      <c r="GA271" s="240"/>
      <c r="GB271" s="240"/>
      <c r="GC271" s="238"/>
      <c r="GD271" s="240"/>
      <c r="GE271" s="240"/>
      <c r="GF271" s="240"/>
      <c r="GG271" s="240"/>
      <c r="GH271" s="238"/>
      <c r="GI271" s="240"/>
      <c r="GJ271" s="240"/>
      <c r="GK271" s="240"/>
      <c r="GL271" s="240"/>
      <c r="GM271" s="238"/>
      <c r="GN271" s="240"/>
      <c r="GO271" s="240"/>
      <c r="GP271" s="240"/>
      <c r="GQ271" s="240"/>
      <c r="GR271" s="240"/>
      <c r="GS271" s="240"/>
      <c r="GT271" s="240"/>
      <c r="GU271" s="240"/>
      <c r="GV271" s="240"/>
      <c r="GW271" s="240"/>
      <c r="GX271" s="240"/>
      <c r="GY271" s="240"/>
      <c r="GZ271" s="240"/>
      <c r="HA271" s="240"/>
      <c r="HB271" s="240"/>
      <c r="HC271" s="240"/>
      <c r="HD271" s="238"/>
      <c r="HE271" s="240"/>
      <c r="HF271" s="240"/>
      <c r="HG271" s="240"/>
      <c r="HH271" s="240"/>
      <c r="HI271" s="240"/>
      <c r="HJ271" s="238"/>
      <c r="HK271" s="240"/>
      <c r="HL271" s="238"/>
      <c r="HM271" s="241"/>
      <c r="HN271" s="235"/>
      <c r="HO271" s="235"/>
      <c r="HP271" s="235"/>
      <c r="HQ271" s="235"/>
    </row>
    <row r="272" spans="2:225" hidden="1" outlineLevel="2">
      <c r="B272" s="275"/>
      <c r="C272" s="258" t="s">
        <v>116</v>
      </c>
      <c r="D272" s="236" t="s">
        <v>3342</v>
      </c>
      <c r="E272" s="248"/>
      <c r="F272" s="284" t="str">
        <f>IF(E272='3. Dropdowns'!C363,"","Submittals, Execution")</f>
        <v>Submittals, Execution</v>
      </c>
      <c r="G272" s="230"/>
      <c r="H272" s="238"/>
      <c r="I272" s="239"/>
      <c r="J272" s="240"/>
      <c r="K272" s="240"/>
      <c r="L272" s="240"/>
      <c r="M272" s="240"/>
      <c r="N272" s="240"/>
      <c r="O272" s="240"/>
      <c r="P272" s="240"/>
      <c r="Q272" s="240"/>
      <c r="R272" s="240"/>
      <c r="S272" s="240"/>
      <c r="T272" s="240" t="s">
        <v>890</v>
      </c>
      <c r="U272" s="240"/>
      <c r="V272" s="240"/>
      <c r="W272" s="240"/>
      <c r="X272" s="238"/>
      <c r="Y272" s="240"/>
      <c r="Z272" s="240"/>
      <c r="AA272" s="240"/>
      <c r="AB272" s="240"/>
      <c r="AC272" s="240"/>
      <c r="AD272" s="240"/>
      <c r="AE272" s="240"/>
      <c r="AF272" s="240"/>
      <c r="AG272" s="240"/>
      <c r="AH272" s="238"/>
      <c r="AI272" s="240"/>
      <c r="AJ272" s="240"/>
      <c r="AK272" s="240"/>
      <c r="AL272" s="240"/>
      <c r="AM272" s="238"/>
      <c r="AN272" s="240"/>
      <c r="AO272" s="240"/>
      <c r="AP272" s="240"/>
      <c r="AQ272" s="238"/>
      <c r="AR272" s="240"/>
      <c r="AS272" s="240"/>
      <c r="AT272" s="240"/>
      <c r="AU272" s="240"/>
      <c r="AV272" s="240"/>
      <c r="AW272" s="240"/>
      <c r="AX272" s="240"/>
      <c r="AY272" s="240"/>
      <c r="AZ272" s="238"/>
      <c r="BA272" s="240"/>
      <c r="BB272" s="240"/>
      <c r="BC272" s="240"/>
      <c r="BD272" s="240"/>
      <c r="BE272" s="240"/>
      <c r="BF272" s="240"/>
      <c r="BG272" s="240"/>
      <c r="BH272" s="240"/>
      <c r="BI272" s="240"/>
      <c r="BJ272" s="240"/>
      <c r="BK272" s="240"/>
      <c r="BL272" s="240"/>
      <c r="BM272" s="240"/>
      <c r="BN272" s="240"/>
      <c r="BO272" s="240"/>
      <c r="BP272" s="238"/>
      <c r="BQ272" s="240"/>
      <c r="BR272" s="240"/>
      <c r="BS272" s="240"/>
      <c r="BT272" s="240"/>
      <c r="BU272" s="240"/>
      <c r="BV272" s="240"/>
      <c r="BW272" s="240"/>
      <c r="BX272" s="240"/>
      <c r="BY272" s="240"/>
      <c r="BZ272" s="240"/>
      <c r="CA272" s="240"/>
      <c r="CB272" s="240"/>
      <c r="CC272" s="240"/>
      <c r="CD272" s="240"/>
      <c r="CE272" s="240"/>
      <c r="CF272" s="238"/>
      <c r="CG272" s="240"/>
      <c r="CH272" s="240"/>
      <c r="CI272" s="240"/>
      <c r="CJ272" s="240"/>
      <c r="CK272" s="240"/>
      <c r="CL272" s="240"/>
      <c r="CM272" s="240"/>
      <c r="CN272" s="240"/>
      <c r="CO272" s="240"/>
      <c r="CP272" s="240" t="s">
        <v>890</v>
      </c>
      <c r="CQ272" s="240"/>
      <c r="CR272" s="240"/>
      <c r="CS272" s="238"/>
      <c r="CT272" s="240"/>
      <c r="CU272" s="240"/>
      <c r="CV272" s="240"/>
      <c r="CW272" s="240"/>
      <c r="CX272" s="240"/>
      <c r="CY272" s="240"/>
      <c r="CZ272" s="240"/>
      <c r="DA272" s="240"/>
      <c r="DB272" s="240"/>
      <c r="DC272" s="240"/>
      <c r="DD272" s="240"/>
      <c r="DE272" s="240"/>
      <c r="DF272" s="238"/>
      <c r="DG272" s="240"/>
      <c r="DH272" s="240" t="s">
        <v>890</v>
      </c>
      <c r="DI272" s="240"/>
      <c r="DJ272" s="240"/>
      <c r="DK272" s="240"/>
      <c r="DL272" s="240"/>
      <c r="DM272" s="240"/>
      <c r="DN272" s="240"/>
      <c r="DO272" s="240"/>
      <c r="DP272" s="240"/>
      <c r="DQ272" s="240"/>
      <c r="DR272" s="238"/>
      <c r="DS272" s="240"/>
      <c r="DT272" s="240"/>
      <c r="DU272" s="240"/>
      <c r="DV272" s="238"/>
      <c r="DW272" s="240"/>
      <c r="DX272" s="240"/>
      <c r="DY272" s="240"/>
      <c r="DZ272" s="240"/>
      <c r="EA272" s="240"/>
      <c r="EB272" s="240"/>
      <c r="EC272" s="240"/>
      <c r="ED272" s="240"/>
      <c r="EE272" s="240"/>
      <c r="EF272" s="238"/>
      <c r="EG272" s="240"/>
      <c r="EH272" s="240"/>
      <c r="EI272" s="240"/>
      <c r="EJ272" s="238"/>
      <c r="EK272" s="240"/>
      <c r="EL272" s="238"/>
      <c r="EM272" s="240"/>
      <c r="EN272" s="240"/>
      <c r="EO272" s="240"/>
      <c r="EP272" s="240"/>
      <c r="EQ272" s="240"/>
      <c r="ER272" s="240"/>
      <c r="ES272" s="240"/>
      <c r="ET272" s="240"/>
      <c r="EU272" s="240"/>
      <c r="EV272" s="240"/>
      <c r="EW272" s="240"/>
      <c r="EX272" s="238"/>
      <c r="EY272" s="240"/>
      <c r="EZ272" s="240"/>
      <c r="FA272" s="240"/>
      <c r="FB272" s="240"/>
      <c r="FC272" s="240"/>
      <c r="FD272" s="240"/>
      <c r="FE272" s="240"/>
      <c r="FF272" s="240"/>
      <c r="FG272" s="240"/>
      <c r="FH272" s="240"/>
      <c r="FI272" s="240"/>
      <c r="FJ272" s="240"/>
      <c r="FK272" s="240"/>
      <c r="FL272" s="240"/>
      <c r="FM272" s="240"/>
      <c r="FN272" s="240"/>
      <c r="FO272" s="238"/>
      <c r="FP272" s="240"/>
      <c r="FQ272" s="240"/>
      <c r="FR272" s="240"/>
      <c r="FS272" s="240"/>
      <c r="FT272" s="240"/>
      <c r="FU272" s="240"/>
      <c r="FV272" s="240"/>
      <c r="FW272" s="240"/>
      <c r="FX272" s="240"/>
      <c r="FY272" s="240"/>
      <c r="FZ272" s="238"/>
      <c r="GA272" s="240"/>
      <c r="GB272" s="240"/>
      <c r="GC272" s="238"/>
      <c r="GD272" s="240"/>
      <c r="GE272" s="240"/>
      <c r="GF272" s="240"/>
      <c r="GG272" s="240"/>
      <c r="GH272" s="238"/>
      <c r="GI272" s="240"/>
      <c r="GJ272" s="240"/>
      <c r="GK272" s="240"/>
      <c r="GL272" s="240"/>
      <c r="GM272" s="238"/>
      <c r="GN272" s="240"/>
      <c r="GO272" s="240"/>
      <c r="GP272" s="240"/>
      <c r="GQ272" s="240"/>
      <c r="GR272" s="240"/>
      <c r="GS272" s="240"/>
      <c r="GT272" s="240"/>
      <c r="GU272" s="240"/>
      <c r="GV272" s="240"/>
      <c r="GW272" s="240"/>
      <c r="GX272" s="240"/>
      <c r="GY272" s="240"/>
      <c r="GZ272" s="240"/>
      <c r="HA272" s="240"/>
      <c r="HB272" s="240"/>
      <c r="HC272" s="240"/>
      <c r="HD272" s="238"/>
      <c r="HE272" s="240"/>
      <c r="HF272" s="240"/>
      <c r="HG272" s="240"/>
      <c r="HH272" s="240"/>
      <c r="HI272" s="240"/>
      <c r="HJ272" s="238"/>
      <c r="HK272" s="240"/>
      <c r="HL272" s="238"/>
      <c r="HM272" s="241"/>
      <c r="HN272" s="235"/>
      <c r="HO272" s="235"/>
      <c r="HP272" s="235"/>
      <c r="HQ272" s="235"/>
    </row>
    <row r="273" spans="2:225" hidden="1" outlineLevel="2">
      <c r="B273" s="275"/>
      <c r="C273" s="258" t="s">
        <v>116</v>
      </c>
      <c r="D273" s="236" t="s">
        <v>3343</v>
      </c>
      <c r="E273" s="248"/>
      <c r="F273" s="284" t="str">
        <f>IF(E273='3. Dropdowns'!C363,"","Submittals, Execution")</f>
        <v>Submittals, Execution</v>
      </c>
      <c r="G273" s="230"/>
      <c r="H273" s="238"/>
      <c r="I273" s="239"/>
      <c r="J273" s="240"/>
      <c r="K273" s="240"/>
      <c r="L273" s="240"/>
      <c r="M273" s="240"/>
      <c r="N273" s="240"/>
      <c r="O273" s="240"/>
      <c r="P273" s="240"/>
      <c r="Q273" s="240"/>
      <c r="R273" s="240"/>
      <c r="S273" s="240"/>
      <c r="T273" s="240" t="s">
        <v>890</v>
      </c>
      <c r="U273" s="240"/>
      <c r="V273" s="240"/>
      <c r="W273" s="240"/>
      <c r="X273" s="238"/>
      <c r="Y273" s="240"/>
      <c r="Z273" s="240"/>
      <c r="AA273" s="240"/>
      <c r="AB273" s="240"/>
      <c r="AC273" s="240"/>
      <c r="AD273" s="240"/>
      <c r="AE273" s="240"/>
      <c r="AF273" s="240"/>
      <c r="AG273" s="240"/>
      <c r="AH273" s="238"/>
      <c r="AI273" s="240"/>
      <c r="AJ273" s="240"/>
      <c r="AK273" s="240"/>
      <c r="AL273" s="240"/>
      <c r="AM273" s="238"/>
      <c r="AN273" s="240"/>
      <c r="AO273" s="240"/>
      <c r="AP273" s="240"/>
      <c r="AQ273" s="238"/>
      <c r="AR273" s="240"/>
      <c r="AS273" s="240"/>
      <c r="AT273" s="240"/>
      <c r="AU273" s="240"/>
      <c r="AV273" s="240"/>
      <c r="AW273" s="240"/>
      <c r="AX273" s="240"/>
      <c r="AY273" s="240"/>
      <c r="AZ273" s="238"/>
      <c r="BA273" s="240"/>
      <c r="BB273" s="240"/>
      <c r="BC273" s="240"/>
      <c r="BD273" s="240"/>
      <c r="BE273" s="240"/>
      <c r="BF273" s="240"/>
      <c r="BG273" s="240"/>
      <c r="BH273" s="240"/>
      <c r="BI273" s="240"/>
      <c r="BJ273" s="240"/>
      <c r="BK273" s="240"/>
      <c r="BL273" s="240"/>
      <c r="BM273" s="240"/>
      <c r="BN273" s="240"/>
      <c r="BO273" s="240"/>
      <c r="BP273" s="238"/>
      <c r="BQ273" s="240"/>
      <c r="BR273" s="240"/>
      <c r="BS273" s="240"/>
      <c r="BT273" s="240"/>
      <c r="BU273" s="240"/>
      <c r="BV273" s="240"/>
      <c r="BW273" s="240"/>
      <c r="BX273" s="240"/>
      <c r="BY273" s="240"/>
      <c r="BZ273" s="240"/>
      <c r="CA273" s="240"/>
      <c r="CB273" s="240"/>
      <c r="CC273" s="240"/>
      <c r="CD273" s="240"/>
      <c r="CE273" s="240"/>
      <c r="CF273" s="238"/>
      <c r="CG273" s="240"/>
      <c r="CH273" s="240"/>
      <c r="CI273" s="240"/>
      <c r="CJ273" s="240"/>
      <c r="CK273" s="240"/>
      <c r="CL273" s="240"/>
      <c r="CM273" s="240"/>
      <c r="CN273" s="240"/>
      <c r="CO273" s="240"/>
      <c r="CP273" s="240"/>
      <c r="CQ273" s="240"/>
      <c r="CR273" s="240"/>
      <c r="CS273" s="238"/>
      <c r="CT273" s="240"/>
      <c r="CU273" s="240"/>
      <c r="CV273" s="240"/>
      <c r="CW273" s="240"/>
      <c r="CX273" s="240"/>
      <c r="CY273" s="240"/>
      <c r="CZ273" s="240"/>
      <c r="DA273" s="240"/>
      <c r="DB273" s="240"/>
      <c r="DC273" s="240"/>
      <c r="DD273" s="240"/>
      <c r="DE273" s="240"/>
      <c r="DF273" s="238"/>
      <c r="DG273" s="240"/>
      <c r="DH273" s="240"/>
      <c r="DI273" s="240"/>
      <c r="DJ273" s="240"/>
      <c r="DK273" s="240"/>
      <c r="DL273" s="240"/>
      <c r="DM273" s="240"/>
      <c r="DN273" s="240"/>
      <c r="DO273" s="240"/>
      <c r="DP273" s="240"/>
      <c r="DQ273" s="240"/>
      <c r="DR273" s="238"/>
      <c r="DS273" s="240"/>
      <c r="DT273" s="240"/>
      <c r="DU273" s="240"/>
      <c r="DV273" s="238"/>
      <c r="DW273" s="240"/>
      <c r="DX273" s="240"/>
      <c r="DY273" s="240"/>
      <c r="DZ273" s="240"/>
      <c r="EA273" s="240"/>
      <c r="EB273" s="240"/>
      <c r="EC273" s="240" t="s">
        <v>890</v>
      </c>
      <c r="ED273" s="240"/>
      <c r="EE273" s="240"/>
      <c r="EF273" s="238"/>
      <c r="EG273" s="240"/>
      <c r="EH273" s="240"/>
      <c r="EI273" s="240"/>
      <c r="EJ273" s="238"/>
      <c r="EK273" s="240"/>
      <c r="EL273" s="238"/>
      <c r="EM273" s="240"/>
      <c r="EN273" s="240"/>
      <c r="EO273" s="240"/>
      <c r="EP273" s="240"/>
      <c r="EQ273" s="240"/>
      <c r="ER273" s="240"/>
      <c r="ES273" s="240"/>
      <c r="ET273" s="240"/>
      <c r="EU273" s="240"/>
      <c r="EV273" s="240" t="s">
        <v>890</v>
      </c>
      <c r="EW273" s="240"/>
      <c r="EX273" s="238"/>
      <c r="EY273" s="240"/>
      <c r="EZ273" s="240"/>
      <c r="FA273" s="240"/>
      <c r="FB273" s="240"/>
      <c r="FC273" s="240"/>
      <c r="FD273" s="240"/>
      <c r="FE273" s="240"/>
      <c r="FF273" s="240"/>
      <c r="FG273" s="240"/>
      <c r="FH273" s="240"/>
      <c r="FI273" s="240"/>
      <c r="FJ273" s="240"/>
      <c r="FK273" s="240"/>
      <c r="FL273" s="240"/>
      <c r="FM273" s="240"/>
      <c r="FN273" s="240"/>
      <c r="FO273" s="238"/>
      <c r="FP273" s="240"/>
      <c r="FQ273" s="240"/>
      <c r="FR273" s="240"/>
      <c r="FS273" s="240"/>
      <c r="FT273" s="240"/>
      <c r="FU273" s="240"/>
      <c r="FV273" s="240"/>
      <c r="FW273" s="240"/>
      <c r="FX273" s="240"/>
      <c r="FY273" s="240"/>
      <c r="FZ273" s="238"/>
      <c r="GA273" s="240"/>
      <c r="GB273" s="240" t="s">
        <v>890</v>
      </c>
      <c r="GC273" s="238"/>
      <c r="GD273" s="240"/>
      <c r="GE273" s="240"/>
      <c r="GF273" s="240"/>
      <c r="GG273" s="240"/>
      <c r="GH273" s="238"/>
      <c r="GI273" s="240"/>
      <c r="GJ273" s="240"/>
      <c r="GK273" s="240"/>
      <c r="GL273" s="240"/>
      <c r="GM273" s="238"/>
      <c r="GN273" s="240"/>
      <c r="GO273" s="240"/>
      <c r="GP273" s="240"/>
      <c r="GQ273" s="240"/>
      <c r="GR273" s="240"/>
      <c r="GS273" s="240"/>
      <c r="GT273" s="240"/>
      <c r="GU273" s="240"/>
      <c r="GV273" s="240"/>
      <c r="GW273" s="240"/>
      <c r="GX273" s="240"/>
      <c r="GY273" s="240"/>
      <c r="GZ273" s="240"/>
      <c r="HA273" s="240"/>
      <c r="HB273" s="240"/>
      <c r="HC273" s="240"/>
      <c r="HD273" s="238"/>
      <c r="HE273" s="240"/>
      <c r="HF273" s="240"/>
      <c r="HG273" s="240"/>
      <c r="HH273" s="240"/>
      <c r="HI273" s="240"/>
      <c r="HJ273" s="238"/>
      <c r="HK273" s="240"/>
      <c r="HL273" s="238"/>
      <c r="HM273" s="241"/>
      <c r="HN273" s="235"/>
      <c r="HO273" s="235"/>
      <c r="HP273" s="235"/>
      <c r="HQ273" s="235"/>
    </row>
    <row r="274" spans="2:225" hidden="1" outlineLevel="2">
      <c r="B274" s="275"/>
      <c r="C274" s="258" t="s">
        <v>116</v>
      </c>
      <c r="D274" s="236" t="s">
        <v>3344</v>
      </c>
      <c r="E274" s="248"/>
      <c r="F274" s="284" t="str">
        <f>IF(E274='3. Dropdowns'!C363,"","Submittals, Products, Execution")</f>
        <v>Submittals, Products, Execution</v>
      </c>
      <c r="G274" s="230"/>
      <c r="H274" s="238"/>
      <c r="I274" s="239"/>
      <c r="J274" s="240"/>
      <c r="K274" s="240"/>
      <c r="L274" s="240"/>
      <c r="M274" s="240"/>
      <c r="N274" s="240"/>
      <c r="O274" s="240"/>
      <c r="P274" s="240"/>
      <c r="Q274" s="240"/>
      <c r="R274" s="240"/>
      <c r="S274" s="240"/>
      <c r="T274" s="240" t="s">
        <v>890</v>
      </c>
      <c r="U274" s="240"/>
      <c r="V274" s="240"/>
      <c r="W274" s="240"/>
      <c r="X274" s="238"/>
      <c r="Y274" s="240"/>
      <c r="Z274" s="240"/>
      <c r="AA274" s="240"/>
      <c r="AB274" s="240"/>
      <c r="AC274" s="240"/>
      <c r="AD274" s="240"/>
      <c r="AE274" s="240"/>
      <c r="AF274" s="240"/>
      <c r="AG274" s="240"/>
      <c r="AH274" s="238"/>
      <c r="AI274" s="240"/>
      <c r="AJ274" s="240"/>
      <c r="AK274" s="240"/>
      <c r="AL274" s="240"/>
      <c r="AM274" s="238"/>
      <c r="AN274" s="240"/>
      <c r="AO274" s="240"/>
      <c r="AP274" s="240"/>
      <c r="AQ274" s="238"/>
      <c r="AR274" s="240"/>
      <c r="AS274" s="240"/>
      <c r="AT274" s="240"/>
      <c r="AU274" s="240"/>
      <c r="AV274" s="240"/>
      <c r="AW274" s="240"/>
      <c r="AX274" s="240"/>
      <c r="AY274" s="240"/>
      <c r="AZ274" s="238"/>
      <c r="BA274" s="240"/>
      <c r="BB274" s="240"/>
      <c r="BC274" s="240"/>
      <c r="BD274" s="240"/>
      <c r="BE274" s="240"/>
      <c r="BF274" s="240"/>
      <c r="BG274" s="240"/>
      <c r="BH274" s="240"/>
      <c r="BI274" s="240"/>
      <c r="BJ274" s="240"/>
      <c r="BK274" s="240"/>
      <c r="BL274" s="240"/>
      <c r="BM274" s="240"/>
      <c r="BN274" s="240"/>
      <c r="BO274" s="240"/>
      <c r="BP274" s="238"/>
      <c r="BQ274" s="240"/>
      <c r="BR274" s="240"/>
      <c r="BS274" s="240"/>
      <c r="BT274" s="240"/>
      <c r="BU274" s="240"/>
      <c r="BV274" s="240"/>
      <c r="BW274" s="240"/>
      <c r="BX274" s="240"/>
      <c r="BY274" s="240"/>
      <c r="BZ274" s="240"/>
      <c r="CA274" s="240"/>
      <c r="CB274" s="240"/>
      <c r="CC274" s="240"/>
      <c r="CD274" s="240"/>
      <c r="CE274" s="240"/>
      <c r="CF274" s="238"/>
      <c r="CG274" s="240"/>
      <c r="CH274" s="240"/>
      <c r="CI274" s="240"/>
      <c r="CJ274" s="240"/>
      <c r="CK274" s="240"/>
      <c r="CL274" s="240"/>
      <c r="CM274" s="240"/>
      <c r="CN274" s="240"/>
      <c r="CO274" s="240"/>
      <c r="CP274" s="240"/>
      <c r="CQ274" s="240"/>
      <c r="CR274" s="240"/>
      <c r="CS274" s="238"/>
      <c r="CT274" s="240"/>
      <c r="CU274" s="240"/>
      <c r="CV274" s="240"/>
      <c r="CW274" s="240"/>
      <c r="CX274" s="240" t="s">
        <v>890</v>
      </c>
      <c r="CY274" s="240"/>
      <c r="CZ274" s="240"/>
      <c r="DA274" s="240"/>
      <c r="DB274" s="240"/>
      <c r="DC274" s="240"/>
      <c r="DD274" s="240"/>
      <c r="DE274" s="240"/>
      <c r="DF274" s="238"/>
      <c r="DG274" s="240"/>
      <c r="DH274" s="240"/>
      <c r="DI274" s="240"/>
      <c r="DJ274" s="240"/>
      <c r="DK274" s="240"/>
      <c r="DL274" s="240"/>
      <c r="DM274" s="240"/>
      <c r="DN274" s="240"/>
      <c r="DO274" s="240"/>
      <c r="DP274" s="240"/>
      <c r="DQ274" s="240"/>
      <c r="DR274" s="238"/>
      <c r="DS274" s="240"/>
      <c r="DT274" s="240"/>
      <c r="DU274" s="240"/>
      <c r="DV274" s="238"/>
      <c r="DW274" s="240"/>
      <c r="DX274" s="240"/>
      <c r="DY274" s="240"/>
      <c r="DZ274" s="240"/>
      <c r="EA274" s="240"/>
      <c r="EB274" s="240"/>
      <c r="EC274" s="240"/>
      <c r="ED274" s="240"/>
      <c r="EE274" s="240"/>
      <c r="EF274" s="238"/>
      <c r="EG274" s="240"/>
      <c r="EH274" s="240"/>
      <c r="EI274" s="240"/>
      <c r="EJ274" s="238"/>
      <c r="EK274" s="240"/>
      <c r="EL274" s="238"/>
      <c r="EM274" s="240"/>
      <c r="EN274" s="240"/>
      <c r="EO274" s="240"/>
      <c r="EP274" s="240"/>
      <c r="EQ274" s="240"/>
      <c r="ER274" s="240"/>
      <c r="ES274" s="240"/>
      <c r="ET274" s="240"/>
      <c r="EU274" s="240"/>
      <c r="EV274" s="240"/>
      <c r="EW274" s="240"/>
      <c r="EX274" s="238"/>
      <c r="EY274" s="240"/>
      <c r="EZ274" s="240"/>
      <c r="FA274" s="240"/>
      <c r="FB274" s="240"/>
      <c r="FC274" s="240"/>
      <c r="FD274" s="240"/>
      <c r="FE274" s="240"/>
      <c r="FF274" s="240"/>
      <c r="FG274" s="240"/>
      <c r="FH274" s="240"/>
      <c r="FI274" s="240"/>
      <c r="FJ274" s="240"/>
      <c r="FK274" s="240"/>
      <c r="FL274" s="240"/>
      <c r="FM274" s="240"/>
      <c r="FN274" s="240"/>
      <c r="FO274" s="238"/>
      <c r="FP274" s="240"/>
      <c r="FQ274" s="240"/>
      <c r="FR274" s="240"/>
      <c r="FS274" s="240"/>
      <c r="FT274" s="240"/>
      <c r="FU274" s="240"/>
      <c r="FV274" s="240"/>
      <c r="FW274" s="240"/>
      <c r="FX274" s="240"/>
      <c r="FY274" s="240"/>
      <c r="FZ274" s="238"/>
      <c r="GA274" s="240"/>
      <c r="GB274" s="240"/>
      <c r="GC274" s="238"/>
      <c r="GD274" s="240"/>
      <c r="GE274" s="240"/>
      <c r="GF274" s="240"/>
      <c r="GG274" s="240"/>
      <c r="GH274" s="238"/>
      <c r="GI274" s="240"/>
      <c r="GJ274" s="240"/>
      <c r="GK274" s="240"/>
      <c r="GL274" s="240"/>
      <c r="GM274" s="238"/>
      <c r="GN274" s="240"/>
      <c r="GO274" s="240"/>
      <c r="GP274" s="240"/>
      <c r="GQ274" s="240"/>
      <c r="GR274" s="240"/>
      <c r="GS274" s="240"/>
      <c r="GT274" s="240"/>
      <c r="GU274" s="240"/>
      <c r="GV274" s="240"/>
      <c r="GW274" s="240"/>
      <c r="GX274" s="240"/>
      <c r="GY274" s="240"/>
      <c r="GZ274" s="240"/>
      <c r="HA274" s="240"/>
      <c r="HB274" s="240"/>
      <c r="HC274" s="240"/>
      <c r="HD274" s="238"/>
      <c r="HE274" s="240"/>
      <c r="HF274" s="240"/>
      <c r="HG274" s="240"/>
      <c r="HH274" s="240"/>
      <c r="HI274" s="240"/>
      <c r="HJ274" s="238"/>
      <c r="HK274" s="240"/>
      <c r="HL274" s="238"/>
      <c r="HM274" s="241"/>
      <c r="HN274" s="235"/>
      <c r="HO274" s="235"/>
      <c r="HP274" s="235"/>
      <c r="HQ274" s="235"/>
    </row>
    <row r="275" spans="2:225" hidden="1" outlineLevel="2">
      <c r="B275" s="275"/>
      <c r="C275" s="258" t="s">
        <v>116</v>
      </c>
      <c r="D275" s="236" t="s">
        <v>3345</v>
      </c>
      <c r="E275" s="248"/>
      <c r="F275" s="284" t="str">
        <f>IF(E275='3. Dropdowns'!C363,"","Submittals, Products, Execution")</f>
        <v>Submittals, Products, Execution</v>
      </c>
      <c r="G275" s="230"/>
      <c r="H275" s="238"/>
      <c r="I275" s="239"/>
      <c r="J275" s="240"/>
      <c r="K275" s="240"/>
      <c r="L275" s="240"/>
      <c r="M275" s="240"/>
      <c r="N275" s="240"/>
      <c r="O275" s="240"/>
      <c r="P275" s="240"/>
      <c r="Q275" s="240"/>
      <c r="R275" s="240"/>
      <c r="S275" s="240"/>
      <c r="T275" s="240" t="s">
        <v>890</v>
      </c>
      <c r="U275" s="240"/>
      <c r="V275" s="240"/>
      <c r="W275" s="240"/>
      <c r="X275" s="238"/>
      <c r="Y275" s="240"/>
      <c r="Z275" s="240"/>
      <c r="AA275" s="240"/>
      <c r="AB275" s="240"/>
      <c r="AC275" s="240"/>
      <c r="AD275" s="240"/>
      <c r="AE275" s="240"/>
      <c r="AF275" s="240"/>
      <c r="AG275" s="240"/>
      <c r="AH275" s="238"/>
      <c r="AI275" s="240"/>
      <c r="AJ275" s="240"/>
      <c r="AK275" s="240"/>
      <c r="AL275" s="240"/>
      <c r="AM275" s="238"/>
      <c r="AN275" s="240"/>
      <c r="AO275" s="240"/>
      <c r="AP275" s="240"/>
      <c r="AQ275" s="238"/>
      <c r="AR275" s="240"/>
      <c r="AS275" s="240"/>
      <c r="AT275" s="240"/>
      <c r="AU275" s="240"/>
      <c r="AV275" s="240"/>
      <c r="AW275" s="240"/>
      <c r="AX275" s="240"/>
      <c r="AY275" s="240"/>
      <c r="AZ275" s="238"/>
      <c r="BA275" s="240"/>
      <c r="BB275" s="240"/>
      <c r="BC275" s="240"/>
      <c r="BD275" s="240"/>
      <c r="BE275" s="240"/>
      <c r="BF275" s="240"/>
      <c r="BG275" s="240"/>
      <c r="BH275" s="240"/>
      <c r="BI275" s="240"/>
      <c r="BJ275" s="240"/>
      <c r="BK275" s="240"/>
      <c r="BL275" s="240"/>
      <c r="BM275" s="240"/>
      <c r="BN275" s="240"/>
      <c r="BO275" s="240"/>
      <c r="BP275" s="238"/>
      <c r="BQ275" s="240"/>
      <c r="BR275" s="240"/>
      <c r="BS275" s="240"/>
      <c r="BT275" s="240"/>
      <c r="BU275" s="240"/>
      <c r="BV275" s="240"/>
      <c r="BW275" s="240"/>
      <c r="BX275" s="240"/>
      <c r="BY275" s="240"/>
      <c r="BZ275" s="240"/>
      <c r="CA275" s="240"/>
      <c r="CB275" s="240"/>
      <c r="CC275" s="240"/>
      <c r="CD275" s="240"/>
      <c r="CE275" s="240"/>
      <c r="CF275" s="238"/>
      <c r="CG275" s="240"/>
      <c r="CH275" s="240"/>
      <c r="CI275" s="240"/>
      <c r="CJ275" s="240"/>
      <c r="CK275" s="240"/>
      <c r="CL275" s="240"/>
      <c r="CM275" s="240"/>
      <c r="CN275" s="240"/>
      <c r="CO275" s="240"/>
      <c r="CP275" s="240"/>
      <c r="CQ275" s="240"/>
      <c r="CR275" s="240"/>
      <c r="CS275" s="238"/>
      <c r="CT275" s="240"/>
      <c r="CU275" s="240"/>
      <c r="CV275" s="240"/>
      <c r="CW275" s="240"/>
      <c r="CX275" s="240"/>
      <c r="CY275" s="240"/>
      <c r="CZ275" s="240"/>
      <c r="DA275" s="240"/>
      <c r="DB275" s="240"/>
      <c r="DC275" s="240"/>
      <c r="DD275" s="240"/>
      <c r="DE275" s="240"/>
      <c r="DF275" s="238"/>
      <c r="DG275" s="240"/>
      <c r="DH275" s="240" t="s">
        <v>890</v>
      </c>
      <c r="DI275" s="240"/>
      <c r="DJ275" s="240"/>
      <c r="DK275" s="240"/>
      <c r="DL275" s="240"/>
      <c r="DM275" s="240"/>
      <c r="DN275" s="240"/>
      <c r="DO275" s="240"/>
      <c r="DP275" s="240"/>
      <c r="DQ275" s="240"/>
      <c r="DR275" s="238"/>
      <c r="DS275" s="240"/>
      <c r="DT275" s="240"/>
      <c r="DU275" s="240"/>
      <c r="DV275" s="238"/>
      <c r="DW275" s="240"/>
      <c r="DX275" s="240"/>
      <c r="DY275" s="240"/>
      <c r="DZ275" s="240"/>
      <c r="EA275" s="240"/>
      <c r="EB275" s="240"/>
      <c r="EC275" s="240"/>
      <c r="ED275" s="240"/>
      <c r="EE275" s="240"/>
      <c r="EF275" s="238"/>
      <c r="EG275" s="240"/>
      <c r="EH275" s="240"/>
      <c r="EI275" s="240"/>
      <c r="EJ275" s="238"/>
      <c r="EK275" s="240"/>
      <c r="EL275" s="238"/>
      <c r="EM275" s="240"/>
      <c r="EN275" s="240"/>
      <c r="EO275" s="240"/>
      <c r="EP275" s="240"/>
      <c r="EQ275" s="240"/>
      <c r="ER275" s="240"/>
      <c r="ES275" s="240"/>
      <c r="ET275" s="240"/>
      <c r="EU275" s="240"/>
      <c r="EV275" s="240"/>
      <c r="EW275" s="240"/>
      <c r="EX275" s="238"/>
      <c r="EY275" s="240"/>
      <c r="EZ275" s="240"/>
      <c r="FA275" s="240"/>
      <c r="FB275" s="240"/>
      <c r="FC275" s="240"/>
      <c r="FD275" s="240"/>
      <c r="FE275" s="240"/>
      <c r="FF275" s="240"/>
      <c r="FG275" s="240"/>
      <c r="FH275" s="240"/>
      <c r="FI275" s="240"/>
      <c r="FJ275" s="240"/>
      <c r="FK275" s="240"/>
      <c r="FL275" s="240"/>
      <c r="FM275" s="240"/>
      <c r="FN275" s="240"/>
      <c r="FO275" s="238"/>
      <c r="FP275" s="240"/>
      <c r="FQ275" s="240"/>
      <c r="FR275" s="240"/>
      <c r="FS275" s="240"/>
      <c r="FT275" s="240"/>
      <c r="FU275" s="240"/>
      <c r="FV275" s="240"/>
      <c r="FW275" s="240"/>
      <c r="FX275" s="240"/>
      <c r="FY275" s="240"/>
      <c r="FZ275" s="238"/>
      <c r="GA275" s="240"/>
      <c r="GB275" s="240"/>
      <c r="GC275" s="238"/>
      <c r="GD275" s="240"/>
      <c r="GE275" s="240"/>
      <c r="GF275" s="240"/>
      <c r="GG275" s="240"/>
      <c r="GH275" s="238"/>
      <c r="GI275" s="240"/>
      <c r="GJ275" s="240"/>
      <c r="GK275" s="240"/>
      <c r="GL275" s="240"/>
      <c r="GM275" s="238"/>
      <c r="GN275" s="240"/>
      <c r="GO275" s="240"/>
      <c r="GP275" s="240"/>
      <c r="GQ275" s="240"/>
      <c r="GR275" s="240"/>
      <c r="GS275" s="240"/>
      <c r="GT275" s="240"/>
      <c r="GU275" s="240"/>
      <c r="GV275" s="240"/>
      <c r="GW275" s="240"/>
      <c r="GX275" s="240"/>
      <c r="GY275" s="240"/>
      <c r="GZ275" s="240"/>
      <c r="HA275" s="240"/>
      <c r="HB275" s="240"/>
      <c r="HC275" s="240"/>
      <c r="HD275" s="238"/>
      <c r="HE275" s="240"/>
      <c r="HF275" s="240"/>
      <c r="HG275" s="240"/>
      <c r="HH275" s="240"/>
      <c r="HI275" s="240"/>
      <c r="HJ275" s="238"/>
      <c r="HK275" s="240"/>
      <c r="HL275" s="238"/>
      <c r="HM275" s="241"/>
      <c r="HN275" s="235"/>
      <c r="HO275" s="235"/>
      <c r="HP275" s="235"/>
      <c r="HQ275" s="235"/>
    </row>
    <row r="276" spans="2:225" hidden="1" outlineLevel="2">
      <c r="B276" s="275"/>
      <c r="C276" s="258" t="s">
        <v>116</v>
      </c>
      <c r="D276" s="236" t="s">
        <v>3346</v>
      </c>
      <c r="E276" s="248"/>
      <c r="F276" s="284" t="str">
        <f>IF(E276='3. Dropdowns'!C363,"","Submittals, Products")</f>
        <v>Submittals, Products</v>
      </c>
      <c r="G276" s="230"/>
      <c r="H276" s="238"/>
      <c r="I276" s="239"/>
      <c r="J276" s="240"/>
      <c r="K276" s="240"/>
      <c r="L276" s="240"/>
      <c r="M276" s="240"/>
      <c r="N276" s="240"/>
      <c r="O276" s="240"/>
      <c r="P276" s="240"/>
      <c r="Q276" s="240"/>
      <c r="R276" s="240"/>
      <c r="S276" s="240"/>
      <c r="T276" s="240" t="s">
        <v>890</v>
      </c>
      <c r="U276" s="240"/>
      <c r="V276" s="240"/>
      <c r="W276" s="240"/>
      <c r="X276" s="238"/>
      <c r="Y276" s="240"/>
      <c r="Z276" s="240"/>
      <c r="AA276" s="240"/>
      <c r="AB276" s="240"/>
      <c r="AC276" s="240"/>
      <c r="AD276" s="240"/>
      <c r="AE276" s="240"/>
      <c r="AF276" s="240"/>
      <c r="AG276" s="240"/>
      <c r="AH276" s="238"/>
      <c r="AI276" s="240"/>
      <c r="AJ276" s="240"/>
      <c r="AK276" s="240"/>
      <c r="AL276" s="240"/>
      <c r="AM276" s="238"/>
      <c r="AN276" s="240"/>
      <c r="AO276" s="240"/>
      <c r="AP276" s="240"/>
      <c r="AQ276" s="238"/>
      <c r="AR276" s="240"/>
      <c r="AS276" s="240"/>
      <c r="AT276" s="240"/>
      <c r="AU276" s="240"/>
      <c r="AV276" s="240"/>
      <c r="AW276" s="240"/>
      <c r="AX276" s="240"/>
      <c r="AY276" s="240"/>
      <c r="AZ276" s="238"/>
      <c r="BA276" s="240"/>
      <c r="BB276" s="240"/>
      <c r="BC276" s="240"/>
      <c r="BD276" s="240"/>
      <c r="BE276" s="240"/>
      <c r="BF276" s="240"/>
      <c r="BG276" s="240"/>
      <c r="BH276" s="240"/>
      <c r="BI276" s="240"/>
      <c r="BJ276" s="240"/>
      <c r="BK276" s="240"/>
      <c r="BL276" s="240"/>
      <c r="BM276" s="240"/>
      <c r="BN276" s="240"/>
      <c r="BO276" s="240"/>
      <c r="BP276" s="238"/>
      <c r="BQ276" s="240"/>
      <c r="BR276" s="240"/>
      <c r="BS276" s="240"/>
      <c r="BT276" s="240"/>
      <c r="BU276" s="240"/>
      <c r="BV276" s="240"/>
      <c r="BW276" s="240"/>
      <c r="BX276" s="240"/>
      <c r="BY276" s="240"/>
      <c r="BZ276" s="240"/>
      <c r="CA276" s="240"/>
      <c r="CB276" s="240"/>
      <c r="CC276" s="240"/>
      <c r="CD276" s="240"/>
      <c r="CE276" s="240"/>
      <c r="CF276" s="238"/>
      <c r="CG276" s="240" t="s">
        <v>890</v>
      </c>
      <c r="CH276" s="240"/>
      <c r="CI276" s="240"/>
      <c r="CJ276" s="240"/>
      <c r="CK276" s="240"/>
      <c r="CL276" s="240"/>
      <c r="CM276" s="240"/>
      <c r="CN276" s="240"/>
      <c r="CO276" s="240"/>
      <c r="CP276" s="240"/>
      <c r="CQ276" s="240"/>
      <c r="CR276" s="240"/>
      <c r="CS276" s="238"/>
      <c r="CT276" s="240"/>
      <c r="CU276" s="240"/>
      <c r="CV276" s="240"/>
      <c r="CW276" s="240"/>
      <c r="CX276" s="240"/>
      <c r="CY276" s="240"/>
      <c r="CZ276" s="240"/>
      <c r="DA276" s="240"/>
      <c r="DB276" s="240"/>
      <c r="DC276" s="240"/>
      <c r="DD276" s="240"/>
      <c r="DE276" s="240"/>
      <c r="DF276" s="238"/>
      <c r="DG276" s="240"/>
      <c r="DH276" s="240"/>
      <c r="DI276" s="240"/>
      <c r="DJ276" s="240"/>
      <c r="DK276" s="240"/>
      <c r="DL276" s="240"/>
      <c r="DM276" s="240"/>
      <c r="DN276" s="240"/>
      <c r="DO276" s="240"/>
      <c r="DP276" s="240"/>
      <c r="DQ276" s="240"/>
      <c r="DR276" s="238"/>
      <c r="DS276" s="240"/>
      <c r="DT276" s="240"/>
      <c r="DU276" s="240"/>
      <c r="DV276" s="238"/>
      <c r="DW276" s="240"/>
      <c r="DX276" s="240"/>
      <c r="DY276" s="240"/>
      <c r="DZ276" s="240"/>
      <c r="EA276" s="240"/>
      <c r="EB276" s="240"/>
      <c r="EC276" s="240"/>
      <c r="ED276" s="240"/>
      <c r="EE276" s="240"/>
      <c r="EF276" s="238"/>
      <c r="EG276" s="240"/>
      <c r="EH276" s="240"/>
      <c r="EI276" s="240"/>
      <c r="EJ276" s="238"/>
      <c r="EK276" s="240"/>
      <c r="EL276" s="238"/>
      <c r="EM276" s="240"/>
      <c r="EN276" s="240"/>
      <c r="EO276" s="240"/>
      <c r="EP276" s="240"/>
      <c r="EQ276" s="240"/>
      <c r="ER276" s="240"/>
      <c r="ES276" s="240"/>
      <c r="ET276" s="240"/>
      <c r="EU276" s="240"/>
      <c r="EV276" s="240" t="s">
        <v>890</v>
      </c>
      <c r="EW276" s="240"/>
      <c r="EX276" s="238"/>
      <c r="EY276" s="240"/>
      <c r="EZ276" s="240"/>
      <c r="FA276" s="240"/>
      <c r="FB276" s="240"/>
      <c r="FC276" s="240"/>
      <c r="FD276" s="240"/>
      <c r="FE276" s="240"/>
      <c r="FF276" s="240"/>
      <c r="FG276" s="240"/>
      <c r="FH276" s="240"/>
      <c r="FI276" s="240"/>
      <c r="FJ276" s="240"/>
      <c r="FK276" s="240"/>
      <c r="FL276" s="240"/>
      <c r="FM276" s="240"/>
      <c r="FN276" s="240"/>
      <c r="FO276" s="238"/>
      <c r="FP276" s="240"/>
      <c r="FQ276" s="240"/>
      <c r="FR276" s="240"/>
      <c r="FS276" s="240"/>
      <c r="FT276" s="240"/>
      <c r="FU276" s="240"/>
      <c r="FV276" s="240"/>
      <c r="FW276" s="240"/>
      <c r="FX276" s="240"/>
      <c r="FY276" s="240"/>
      <c r="FZ276" s="238"/>
      <c r="GA276" s="240"/>
      <c r="GB276" s="240"/>
      <c r="GC276" s="238"/>
      <c r="GD276" s="240"/>
      <c r="GE276" s="240"/>
      <c r="GF276" s="240"/>
      <c r="GG276" s="240"/>
      <c r="GH276" s="238"/>
      <c r="GI276" s="240"/>
      <c r="GJ276" s="240"/>
      <c r="GK276" s="240"/>
      <c r="GL276" s="240"/>
      <c r="GM276" s="238"/>
      <c r="GN276" s="240"/>
      <c r="GO276" s="240"/>
      <c r="GP276" s="240"/>
      <c r="GQ276" s="240"/>
      <c r="GR276" s="240"/>
      <c r="GS276" s="240"/>
      <c r="GT276" s="240"/>
      <c r="GU276" s="240"/>
      <c r="GV276" s="240"/>
      <c r="GW276" s="240"/>
      <c r="GX276" s="240"/>
      <c r="GY276" s="240"/>
      <c r="GZ276" s="240"/>
      <c r="HA276" s="240"/>
      <c r="HB276" s="240"/>
      <c r="HC276" s="240"/>
      <c r="HD276" s="238"/>
      <c r="HE276" s="240"/>
      <c r="HF276" s="240"/>
      <c r="HG276" s="240"/>
      <c r="HH276" s="240"/>
      <c r="HI276" s="240"/>
      <c r="HJ276" s="238"/>
      <c r="HK276" s="240"/>
      <c r="HL276" s="238"/>
      <c r="HM276" s="241"/>
      <c r="HN276" s="235"/>
      <c r="HO276" s="235"/>
      <c r="HP276" s="235"/>
      <c r="HQ276" s="235"/>
    </row>
    <row r="277" spans="2:225" hidden="1" outlineLevel="2">
      <c r="B277" s="275"/>
      <c r="C277" s="258" t="s">
        <v>116</v>
      </c>
      <c r="D277" s="236" t="s">
        <v>3347</v>
      </c>
      <c r="E277" s="248"/>
      <c r="F277" s="284" t="str">
        <f>IF(E277='3. Dropdowns'!C363,"","Submittals, Execution")</f>
        <v>Submittals, Execution</v>
      </c>
      <c r="G277" s="230"/>
      <c r="H277" s="238"/>
      <c r="I277" s="239"/>
      <c r="J277" s="240"/>
      <c r="K277" s="240"/>
      <c r="L277" s="240"/>
      <c r="M277" s="240"/>
      <c r="N277" s="240"/>
      <c r="O277" s="240"/>
      <c r="P277" s="240"/>
      <c r="Q277" s="240"/>
      <c r="R277" s="240"/>
      <c r="S277" s="240"/>
      <c r="T277" s="240" t="s">
        <v>890</v>
      </c>
      <c r="U277" s="240"/>
      <c r="V277" s="240"/>
      <c r="W277" s="240"/>
      <c r="X277" s="238"/>
      <c r="Y277" s="240"/>
      <c r="Z277" s="240"/>
      <c r="AA277" s="240"/>
      <c r="AB277" s="240"/>
      <c r="AC277" s="240"/>
      <c r="AD277" s="240"/>
      <c r="AE277" s="240"/>
      <c r="AF277" s="240"/>
      <c r="AG277" s="240"/>
      <c r="AH277" s="238"/>
      <c r="AI277" s="240"/>
      <c r="AJ277" s="240"/>
      <c r="AK277" s="240"/>
      <c r="AL277" s="240"/>
      <c r="AM277" s="238"/>
      <c r="AN277" s="240"/>
      <c r="AO277" s="240"/>
      <c r="AP277" s="240"/>
      <c r="AQ277" s="238"/>
      <c r="AR277" s="240"/>
      <c r="AS277" s="240"/>
      <c r="AT277" s="240"/>
      <c r="AU277" s="240"/>
      <c r="AV277" s="240"/>
      <c r="AW277" s="240"/>
      <c r="AX277" s="240"/>
      <c r="AY277" s="240" t="s">
        <v>890</v>
      </c>
      <c r="AZ277" s="238"/>
      <c r="BA277" s="240"/>
      <c r="BB277" s="240"/>
      <c r="BC277" s="240"/>
      <c r="BD277" s="240" t="s">
        <v>890</v>
      </c>
      <c r="BE277" s="240" t="s">
        <v>890</v>
      </c>
      <c r="BF277" s="240"/>
      <c r="BG277" s="240"/>
      <c r="BH277" s="240"/>
      <c r="BI277" s="240"/>
      <c r="BJ277" s="240"/>
      <c r="BK277" s="240"/>
      <c r="BL277" s="240"/>
      <c r="BM277" s="240" t="s">
        <v>890</v>
      </c>
      <c r="BN277" s="240"/>
      <c r="BO277" s="240"/>
      <c r="BP277" s="238"/>
      <c r="BQ277" s="240"/>
      <c r="BR277" s="240"/>
      <c r="BS277" s="240"/>
      <c r="BT277" s="240"/>
      <c r="BU277" s="240"/>
      <c r="BV277" s="240"/>
      <c r="BW277" s="240"/>
      <c r="BX277" s="240"/>
      <c r="BY277" s="240"/>
      <c r="BZ277" s="240"/>
      <c r="CA277" s="240"/>
      <c r="CB277" s="240"/>
      <c r="CC277" s="240"/>
      <c r="CD277" s="240"/>
      <c r="CE277" s="240"/>
      <c r="CF277" s="238"/>
      <c r="CG277" s="240"/>
      <c r="CH277" s="240"/>
      <c r="CI277" s="240"/>
      <c r="CJ277" s="240"/>
      <c r="CK277" s="240"/>
      <c r="CL277" s="240"/>
      <c r="CM277" s="240"/>
      <c r="CN277" s="240"/>
      <c r="CO277" s="240"/>
      <c r="CP277" s="240"/>
      <c r="CQ277" s="240"/>
      <c r="CR277" s="240"/>
      <c r="CS277" s="238"/>
      <c r="CT277" s="240"/>
      <c r="CU277" s="240"/>
      <c r="CV277" s="240"/>
      <c r="CW277" s="240"/>
      <c r="CX277" s="240"/>
      <c r="CY277" s="240"/>
      <c r="CZ277" s="240"/>
      <c r="DA277" s="240"/>
      <c r="DB277" s="240"/>
      <c r="DC277" s="240"/>
      <c r="DD277" s="240"/>
      <c r="DE277" s="240"/>
      <c r="DF277" s="238"/>
      <c r="DG277" s="240"/>
      <c r="DH277" s="240"/>
      <c r="DI277" s="240"/>
      <c r="DJ277" s="240"/>
      <c r="DK277" s="240"/>
      <c r="DL277" s="240"/>
      <c r="DM277" s="240"/>
      <c r="DN277" s="240"/>
      <c r="DO277" s="240"/>
      <c r="DP277" s="240"/>
      <c r="DQ277" s="240"/>
      <c r="DR277" s="238"/>
      <c r="DS277" s="240"/>
      <c r="DT277" s="240"/>
      <c r="DU277" s="240"/>
      <c r="DV277" s="238"/>
      <c r="DW277" s="240"/>
      <c r="DX277" s="240"/>
      <c r="DY277" s="240"/>
      <c r="DZ277" s="240"/>
      <c r="EA277" s="240"/>
      <c r="EB277" s="240"/>
      <c r="EC277" s="240"/>
      <c r="ED277" s="240"/>
      <c r="EE277" s="240"/>
      <c r="EF277" s="238"/>
      <c r="EG277" s="240"/>
      <c r="EH277" s="240"/>
      <c r="EI277" s="240"/>
      <c r="EJ277" s="238"/>
      <c r="EK277" s="240"/>
      <c r="EL277" s="238"/>
      <c r="EM277" s="240"/>
      <c r="EN277" s="240"/>
      <c r="EO277" s="240"/>
      <c r="EP277" s="240"/>
      <c r="EQ277" s="240"/>
      <c r="ER277" s="240"/>
      <c r="ES277" s="240"/>
      <c r="ET277" s="240"/>
      <c r="EU277" s="240"/>
      <c r="EV277" s="240"/>
      <c r="EW277" s="240"/>
      <c r="EX277" s="238"/>
      <c r="EY277" s="240"/>
      <c r="EZ277" s="240"/>
      <c r="FA277" s="240"/>
      <c r="FB277" s="240"/>
      <c r="FC277" s="240"/>
      <c r="FD277" s="240"/>
      <c r="FE277" s="240"/>
      <c r="FF277" s="240"/>
      <c r="FG277" s="240"/>
      <c r="FH277" s="240"/>
      <c r="FI277" s="240"/>
      <c r="FJ277" s="240"/>
      <c r="FK277" s="240"/>
      <c r="FL277" s="240"/>
      <c r="FM277" s="240"/>
      <c r="FN277" s="240"/>
      <c r="FO277" s="238"/>
      <c r="FP277" s="240"/>
      <c r="FQ277" s="240"/>
      <c r="FR277" s="240"/>
      <c r="FS277" s="240"/>
      <c r="FT277" s="240"/>
      <c r="FU277" s="240"/>
      <c r="FV277" s="240"/>
      <c r="FW277" s="240"/>
      <c r="FX277" s="240"/>
      <c r="FY277" s="240"/>
      <c r="FZ277" s="238"/>
      <c r="GA277" s="240"/>
      <c r="GB277" s="240"/>
      <c r="GC277" s="238"/>
      <c r="GD277" s="240"/>
      <c r="GE277" s="240"/>
      <c r="GF277" s="240"/>
      <c r="GG277" s="240"/>
      <c r="GH277" s="238"/>
      <c r="GI277" s="240"/>
      <c r="GJ277" s="240"/>
      <c r="GK277" s="240"/>
      <c r="GL277" s="240"/>
      <c r="GM277" s="238"/>
      <c r="GN277" s="240"/>
      <c r="GO277" s="240"/>
      <c r="GP277" s="240"/>
      <c r="GQ277" s="240"/>
      <c r="GR277" s="240"/>
      <c r="GS277" s="240"/>
      <c r="GT277" s="240"/>
      <c r="GU277" s="240"/>
      <c r="GV277" s="240"/>
      <c r="GW277" s="240"/>
      <c r="GX277" s="240"/>
      <c r="GY277" s="240"/>
      <c r="GZ277" s="240"/>
      <c r="HA277" s="240"/>
      <c r="HB277" s="240"/>
      <c r="HC277" s="240"/>
      <c r="HD277" s="238"/>
      <c r="HE277" s="240"/>
      <c r="HF277" s="240"/>
      <c r="HG277" s="240"/>
      <c r="HH277" s="240"/>
      <c r="HI277" s="240"/>
      <c r="HJ277" s="238"/>
      <c r="HK277" s="240"/>
      <c r="HL277" s="238"/>
      <c r="HM277" s="241"/>
      <c r="HN277" s="235"/>
      <c r="HO277" s="235"/>
      <c r="HP277" s="235"/>
      <c r="HQ277" s="235"/>
    </row>
    <row r="278" spans="2:225" hidden="1" outlineLevel="2">
      <c r="B278" s="275"/>
      <c r="C278" s="258" t="s">
        <v>116</v>
      </c>
      <c r="D278" s="236" t="s">
        <v>3348</v>
      </c>
      <c r="E278" s="248"/>
      <c r="F278" s="284" t="str">
        <f>IF(E278='3. Dropdowns'!C363,"","Submittals, Products")</f>
        <v>Submittals, Products</v>
      </c>
      <c r="G278" s="230"/>
      <c r="H278" s="238"/>
      <c r="I278" s="239"/>
      <c r="J278" s="240"/>
      <c r="K278" s="240"/>
      <c r="L278" s="240"/>
      <c r="M278" s="240"/>
      <c r="N278" s="240"/>
      <c r="O278" s="240"/>
      <c r="P278" s="240"/>
      <c r="Q278" s="240"/>
      <c r="R278" s="240"/>
      <c r="S278" s="240"/>
      <c r="T278" s="240" t="s">
        <v>890</v>
      </c>
      <c r="U278" s="240"/>
      <c r="V278" s="240"/>
      <c r="W278" s="240"/>
      <c r="X278" s="238"/>
      <c r="Y278" s="240"/>
      <c r="Z278" s="240"/>
      <c r="AA278" s="240"/>
      <c r="AB278" s="240"/>
      <c r="AC278" s="240"/>
      <c r="AD278" s="240"/>
      <c r="AE278" s="240"/>
      <c r="AF278" s="240"/>
      <c r="AG278" s="240"/>
      <c r="AH278" s="238"/>
      <c r="AI278" s="240"/>
      <c r="AJ278" s="240"/>
      <c r="AK278" s="240"/>
      <c r="AL278" s="240"/>
      <c r="AM278" s="238"/>
      <c r="AN278" s="240"/>
      <c r="AO278" s="240"/>
      <c r="AP278" s="240"/>
      <c r="AQ278" s="238"/>
      <c r="AR278" s="240"/>
      <c r="AS278" s="240"/>
      <c r="AT278" s="240"/>
      <c r="AU278" s="240"/>
      <c r="AV278" s="240"/>
      <c r="AW278" s="240"/>
      <c r="AX278" s="240"/>
      <c r="AY278" s="240"/>
      <c r="AZ278" s="238"/>
      <c r="BA278" s="240"/>
      <c r="BB278" s="240"/>
      <c r="BC278" s="240"/>
      <c r="BD278" s="240"/>
      <c r="BE278" s="240"/>
      <c r="BF278" s="240"/>
      <c r="BG278" s="240"/>
      <c r="BH278" s="240"/>
      <c r="BI278" s="240"/>
      <c r="BJ278" s="240"/>
      <c r="BK278" s="240"/>
      <c r="BL278" s="240" t="s">
        <v>890</v>
      </c>
      <c r="BM278" s="240"/>
      <c r="BN278" s="240"/>
      <c r="BO278" s="240"/>
      <c r="BP278" s="238"/>
      <c r="BQ278" s="240"/>
      <c r="BR278" s="240"/>
      <c r="BS278" s="240"/>
      <c r="BT278" s="240"/>
      <c r="BU278" s="240"/>
      <c r="BV278" s="240"/>
      <c r="BW278" s="240"/>
      <c r="BX278" s="240"/>
      <c r="BY278" s="240"/>
      <c r="BZ278" s="240"/>
      <c r="CA278" s="240"/>
      <c r="CB278" s="240"/>
      <c r="CC278" s="240"/>
      <c r="CD278" s="240"/>
      <c r="CE278" s="240"/>
      <c r="CF278" s="238"/>
      <c r="CG278" s="240"/>
      <c r="CH278" s="240"/>
      <c r="CI278" s="240"/>
      <c r="CJ278" s="240"/>
      <c r="CK278" s="240"/>
      <c r="CL278" s="240"/>
      <c r="CM278" s="240"/>
      <c r="CN278" s="240"/>
      <c r="CO278" s="240" t="s">
        <v>890</v>
      </c>
      <c r="CP278" s="240"/>
      <c r="CQ278" s="240"/>
      <c r="CR278" s="240"/>
      <c r="CS278" s="238"/>
      <c r="CT278" s="240"/>
      <c r="CU278" s="240"/>
      <c r="CV278" s="240"/>
      <c r="CW278" s="240"/>
      <c r="CX278" s="240"/>
      <c r="CY278" s="240"/>
      <c r="CZ278" s="240"/>
      <c r="DA278" s="240"/>
      <c r="DB278" s="240"/>
      <c r="DC278" s="240"/>
      <c r="DD278" s="240"/>
      <c r="DE278" s="240"/>
      <c r="DF278" s="238"/>
      <c r="DG278" s="240"/>
      <c r="DH278" s="240"/>
      <c r="DI278" s="240"/>
      <c r="DJ278" s="240"/>
      <c r="DK278" s="240"/>
      <c r="DL278" s="240"/>
      <c r="DM278" s="240"/>
      <c r="DN278" s="240"/>
      <c r="DO278" s="240"/>
      <c r="DP278" s="240"/>
      <c r="DQ278" s="240"/>
      <c r="DR278" s="238"/>
      <c r="DS278" s="240"/>
      <c r="DT278" s="240"/>
      <c r="DU278" s="240"/>
      <c r="DV278" s="238"/>
      <c r="DW278" s="240"/>
      <c r="DX278" s="240"/>
      <c r="DY278" s="240"/>
      <c r="DZ278" s="240"/>
      <c r="EA278" s="240"/>
      <c r="EB278" s="240"/>
      <c r="EC278" s="240"/>
      <c r="ED278" s="240"/>
      <c r="EE278" s="240"/>
      <c r="EF278" s="238"/>
      <c r="EG278" s="240"/>
      <c r="EH278" s="240"/>
      <c r="EI278" s="240"/>
      <c r="EJ278" s="238"/>
      <c r="EK278" s="240"/>
      <c r="EL278" s="238"/>
      <c r="EM278" s="240"/>
      <c r="EN278" s="240"/>
      <c r="EO278" s="240"/>
      <c r="EP278" s="240"/>
      <c r="EQ278" s="240"/>
      <c r="ER278" s="240"/>
      <c r="ES278" s="240"/>
      <c r="ET278" s="240"/>
      <c r="EU278" s="240"/>
      <c r="EV278" s="240" t="s">
        <v>890</v>
      </c>
      <c r="EW278" s="240"/>
      <c r="EX278" s="238"/>
      <c r="EY278" s="240"/>
      <c r="EZ278" s="240"/>
      <c r="FA278" s="240"/>
      <c r="FB278" s="240"/>
      <c r="FC278" s="240"/>
      <c r="FD278" s="240"/>
      <c r="FE278" s="240"/>
      <c r="FF278" s="240"/>
      <c r="FG278" s="240"/>
      <c r="FH278" s="240"/>
      <c r="FI278" s="240"/>
      <c r="FJ278" s="240"/>
      <c r="FK278" s="240"/>
      <c r="FL278" s="240"/>
      <c r="FM278" s="240"/>
      <c r="FN278" s="240"/>
      <c r="FO278" s="238"/>
      <c r="FP278" s="240"/>
      <c r="FQ278" s="240"/>
      <c r="FR278" s="240"/>
      <c r="FS278" s="240"/>
      <c r="FT278" s="240" t="s">
        <v>890</v>
      </c>
      <c r="FU278" s="240"/>
      <c r="FV278" s="240"/>
      <c r="FW278" s="240" t="s">
        <v>890</v>
      </c>
      <c r="FX278" s="240"/>
      <c r="FY278" s="240"/>
      <c r="FZ278" s="238"/>
      <c r="GA278" s="240"/>
      <c r="GB278" s="240"/>
      <c r="GC278" s="238"/>
      <c r="GD278" s="240"/>
      <c r="GE278" s="240"/>
      <c r="GF278" s="240"/>
      <c r="GG278" s="240"/>
      <c r="GH278" s="238"/>
      <c r="GI278" s="240"/>
      <c r="GJ278" s="240"/>
      <c r="GK278" s="240"/>
      <c r="GL278" s="240"/>
      <c r="GM278" s="238"/>
      <c r="GN278" s="240"/>
      <c r="GO278" s="240"/>
      <c r="GP278" s="240"/>
      <c r="GQ278" s="240"/>
      <c r="GR278" s="240"/>
      <c r="GS278" s="240"/>
      <c r="GT278" s="240"/>
      <c r="GU278" s="240"/>
      <c r="GV278" s="240"/>
      <c r="GW278" s="240"/>
      <c r="GX278" s="240"/>
      <c r="GY278" s="240"/>
      <c r="GZ278" s="240"/>
      <c r="HA278" s="240"/>
      <c r="HB278" s="240"/>
      <c r="HC278" s="240"/>
      <c r="HD278" s="238"/>
      <c r="HE278" s="240"/>
      <c r="HF278" s="240"/>
      <c r="HG278" s="240"/>
      <c r="HH278" s="240"/>
      <c r="HI278" s="240"/>
      <c r="HJ278" s="238"/>
      <c r="HK278" s="240"/>
      <c r="HL278" s="238"/>
      <c r="HM278" s="241"/>
      <c r="HN278" s="235"/>
      <c r="HO278" s="235"/>
      <c r="HP278" s="235"/>
      <c r="HQ278" s="235"/>
    </row>
    <row r="279" spans="2:225" hidden="1" outlineLevel="2">
      <c r="B279" s="275"/>
      <c r="C279" s="258" t="s">
        <v>116</v>
      </c>
      <c r="D279" s="236" t="s">
        <v>3349</v>
      </c>
      <c r="E279" s="248"/>
      <c r="F279" s="284" t="str">
        <f>IF(E279='3. Dropdowns'!C363,"","Submittals")</f>
        <v>Submittals</v>
      </c>
      <c r="G279" s="230"/>
      <c r="H279" s="238"/>
      <c r="I279" s="239"/>
      <c r="J279" s="240"/>
      <c r="K279" s="240"/>
      <c r="L279" s="240"/>
      <c r="M279" s="240"/>
      <c r="N279" s="240"/>
      <c r="O279" s="240"/>
      <c r="P279" s="240"/>
      <c r="Q279" s="240"/>
      <c r="R279" s="240"/>
      <c r="S279" s="240"/>
      <c r="T279" s="240" t="s">
        <v>890</v>
      </c>
      <c r="U279" s="240"/>
      <c r="V279" s="240"/>
      <c r="W279" s="240"/>
      <c r="X279" s="238"/>
      <c r="Y279" s="240"/>
      <c r="Z279" s="240"/>
      <c r="AA279" s="240"/>
      <c r="AB279" s="240"/>
      <c r="AC279" s="240"/>
      <c r="AD279" s="240"/>
      <c r="AE279" s="240"/>
      <c r="AF279" s="240"/>
      <c r="AG279" s="240"/>
      <c r="AH279" s="238"/>
      <c r="AI279" s="240"/>
      <c r="AJ279" s="240"/>
      <c r="AK279" s="240"/>
      <c r="AL279" s="240"/>
      <c r="AM279" s="238"/>
      <c r="AN279" s="240"/>
      <c r="AO279" s="240"/>
      <c r="AP279" s="240"/>
      <c r="AQ279" s="238"/>
      <c r="AR279" s="240"/>
      <c r="AS279" s="240"/>
      <c r="AT279" s="240"/>
      <c r="AU279" s="240"/>
      <c r="AV279" s="240"/>
      <c r="AW279" s="240"/>
      <c r="AX279" s="240"/>
      <c r="AY279" s="240"/>
      <c r="AZ279" s="238"/>
      <c r="BA279" s="240"/>
      <c r="BB279" s="240"/>
      <c r="BC279" s="240"/>
      <c r="BD279" s="240"/>
      <c r="BE279" s="240" t="s">
        <v>890</v>
      </c>
      <c r="BF279" s="240"/>
      <c r="BG279" s="240"/>
      <c r="BH279" s="240"/>
      <c r="BI279" s="240"/>
      <c r="BJ279" s="240"/>
      <c r="BK279" s="240"/>
      <c r="BL279" s="240"/>
      <c r="BM279" s="240"/>
      <c r="BN279" s="240"/>
      <c r="BO279" s="240"/>
      <c r="BP279" s="238"/>
      <c r="BQ279" s="240"/>
      <c r="BR279" s="240"/>
      <c r="BS279" s="240"/>
      <c r="BT279" s="240"/>
      <c r="BU279" s="240"/>
      <c r="BV279" s="240"/>
      <c r="BW279" s="240"/>
      <c r="BX279" s="240"/>
      <c r="BY279" s="240"/>
      <c r="BZ279" s="240"/>
      <c r="CA279" s="240"/>
      <c r="CB279" s="240"/>
      <c r="CC279" s="240"/>
      <c r="CD279" s="240"/>
      <c r="CE279" s="240"/>
      <c r="CF279" s="238"/>
      <c r="CG279" s="240"/>
      <c r="CH279" s="240"/>
      <c r="CI279" s="240"/>
      <c r="CJ279" s="240"/>
      <c r="CK279" s="240"/>
      <c r="CL279" s="240"/>
      <c r="CM279" s="240"/>
      <c r="CN279" s="240"/>
      <c r="CO279" s="240"/>
      <c r="CP279" s="240"/>
      <c r="CQ279" s="240"/>
      <c r="CR279" s="240"/>
      <c r="CS279" s="238"/>
      <c r="CT279" s="240"/>
      <c r="CU279" s="240"/>
      <c r="CV279" s="240"/>
      <c r="CW279" s="240"/>
      <c r="CX279" s="240"/>
      <c r="CY279" s="240"/>
      <c r="CZ279" s="240"/>
      <c r="DA279" s="240"/>
      <c r="DB279" s="240"/>
      <c r="DC279" s="240"/>
      <c r="DD279" s="240"/>
      <c r="DE279" s="240"/>
      <c r="DF279" s="238"/>
      <c r="DG279" s="240"/>
      <c r="DH279" s="240"/>
      <c r="DI279" s="240"/>
      <c r="DJ279" s="240"/>
      <c r="DK279" s="240"/>
      <c r="DL279" s="240"/>
      <c r="DM279" s="240"/>
      <c r="DN279" s="240"/>
      <c r="DO279" s="240"/>
      <c r="DP279" s="240"/>
      <c r="DQ279" s="240"/>
      <c r="DR279" s="238"/>
      <c r="DS279" s="240"/>
      <c r="DT279" s="240"/>
      <c r="DU279" s="240"/>
      <c r="DV279" s="238"/>
      <c r="DW279" s="240"/>
      <c r="DX279" s="240"/>
      <c r="DY279" s="240"/>
      <c r="DZ279" s="240"/>
      <c r="EA279" s="240"/>
      <c r="EB279" s="240"/>
      <c r="EC279" s="240"/>
      <c r="ED279" s="240"/>
      <c r="EE279" s="240"/>
      <c r="EF279" s="238"/>
      <c r="EG279" s="240"/>
      <c r="EH279" s="240"/>
      <c r="EI279" s="240"/>
      <c r="EJ279" s="238"/>
      <c r="EK279" s="240"/>
      <c r="EL279" s="238"/>
      <c r="EM279" s="240"/>
      <c r="EN279" s="240"/>
      <c r="EO279" s="240"/>
      <c r="EP279" s="240"/>
      <c r="EQ279" s="240"/>
      <c r="ER279" s="240"/>
      <c r="ES279" s="240"/>
      <c r="ET279" s="240"/>
      <c r="EU279" s="240"/>
      <c r="EV279" s="240"/>
      <c r="EW279" s="240"/>
      <c r="EX279" s="238"/>
      <c r="EY279" s="240"/>
      <c r="EZ279" s="240"/>
      <c r="FA279" s="240"/>
      <c r="FB279" s="240"/>
      <c r="FC279" s="240"/>
      <c r="FD279" s="240"/>
      <c r="FE279" s="240"/>
      <c r="FF279" s="240"/>
      <c r="FG279" s="240"/>
      <c r="FH279" s="240"/>
      <c r="FI279" s="240"/>
      <c r="FJ279" s="240"/>
      <c r="FK279" s="240"/>
      <c r="FL279" s="240"/>
      <c r="FM279" s="240"/>
      <c r="FN279" s="240"/>
      <c r="FO279" s="238"/>
      <c r="FP279" s="240"/>
      <c r="FQ279" s="240"/>
      <c r="FR279" s="240"/>
      <c r="FS279" s="240"/>
      <c r="FT279" s="240"/>
      <c r="FU279" s="240"/>
      <c r="FV279" s="240"/>
      <c r="FW279" s="240"/>
      <c r="FX279" s="240"/>
      <c r="FY279" s="240"/>
      <c r="FZ279" s="238"/>
      <c r="GA279" s="240"/>
      <c r="GB279" s="240"/>
      <c r="GC279" s="238"/>
      <c r="GD279" s="240"/>
      <c r="GE279" s="240"/>
      <c r="GF279" s="240"/>
      <c r="GG279" s="240"/>
      <c r="GH279" s="238"/>
      <c r="GI279" s="240"/>
      <c r="GJ279" s="240"/>
      <c r="GK279" s="240"/>
      <c r="GL279" s="240"/>
      <c r="GM279" s="238"/>
      <c r="GN279" s="240"/>
      <c r="GO279" s="240"/>
      <c r="GP279" s="240"/>
      <c r="GQ279" s="240"/>
      <c r="GR279" s="240"/>
      <c r="GS279" s="240"/>
      <c r="GT279" s="240"/>
      <c r="GU279" s="240"/>
      <c r="GV279" s="240"/>
      <c r="GW279" s="240"/>
      <c r="GX279" s="240"/>
      <c r="GY279" s="240"/>
      <c r="GZ279" s="240"/>
      <c r="HA279" s="240"/>
      <c r="HB279" s="240"/>
      <c r="HC279" s="240"/>
      <c r="HD279" s="238"/>
      <c r="HE279" s="240"/>
      <c r="HF279" s="240"/>
      <c r="HG279" s="240"/>
      <c r="HH279" s="240"/>
      <c r="HI279" s="240"/>
      <c r="HJ279" s="238"/>
      <c r="HK279" s="240"/>
      <c r="HL279" s="238"/>
      <c r="HM279" s="241"/>
      <c r="HN279" s="235"/>
      <c r="HO279" s="235"/>
      <c r="HP279" s="235"/>
      <c r="HQ279" s="235"/>
    </row>
    <row r="280" spans="2:225" hidden="1" outlineLevel="2">
      <c r="B280" s="275"/>
      <c r="C280" s="258" t="s">
        <v>116</v>
      </c>
      <c r="D280" s="236" t="s">
        <v>3350</v>
      </c>
      <c r="E280" s="248"/>
      <c r="F280" s="284" t="str">
        <f>IF(E280='3. Dropdowns'!C363,"","Submittals, Execution")</f>
        <v>Submittals, Execution</v>
      </c>
      <c r="G280" s="230"/>
      <c r="H280" s="238"/>
      <c r="I280" s="239"/>
      <c r="J280" s="240"/>
      <c r="K280" s="240"/>
      <c r="L280" s="240"/>
      <c r="M280" s="240"/>
      <c r="N280" s="240"/>
      <c r="O280" s="240"/>
      <c r="P280" s="240"/>
      <c r="Q280" s="240"/>
      <c r="R280" s="240"/>
      <c r="S280" s="240"/>
      <c r="T280" s="240" t="s">
        <v>890</v>
      </c>
      <c r="U280" s="240"/>
      <c r="V280" s="240"/>
      <c r="W280" s="240"/>
      <c r="X280" s="238"/>
      <c r="Y280" s="240"/>
      <c r="Z280" s="240"/>
      <c r="AA280" s="240"/>
      <c r="AB280" s="240"/>
      <c r="AC280" s="240"/>
      <c r="AD280" s="240"/>
      <c r="AE280" s="240"/>
      <c r="AF280" s="240"/>
      <c r="AG280" s="240"/>
      <c r="AH280" s="238"/>
      <c r="AI280" s="240"/>
      <c r="AJ280" s="240"/>
      <c r="AK280" s="240"/>
      <c r="AL280" s="240"/>
      <c r="AM280" s="238"/>
      <c r="AN280" s="240"/>
      <c r="AO280" s="240"/>
      <c r="AP280" s="240"/>
      <c r="AQ280" s="238"/>
      <c r="AR280" s="240"/>
      <c r="AS280" s="240"/>
      <c r="AT280" s="240"/>
      <c r="AU280" s="240"/>
      <c r="AV280" s="240"/>
      <c r="AW280" s="240"/>
      <c r="AX280" s="240"/>
      <c r="AY280" s="240"/>
      <c r="AZ280" s="238"/>
      <c r="BA280" s="240"/>
      <c r="BB280" s="240"/>
      <c r="BC280" s="240"/>
      <c r="BD280" s="240"/>
      <c r="BE280" s="240" t="s">
        <v>890</v>
      </c>
      <c r="BF280" s="240"/>
      <c r="BG280" s="240"/>
      <c r="BH280" s="240"/>
      <c r="BI280" s="240"/>
      <c r="BJ280" s="240"/>
      <c r="BK280" s="240"/>
      <c r="BL280" s="240"/>
      <c r="BM280" s="240"/>
      <c r="BN280" s="240"/>
      <c r="BO280" s="240" t="s">
        <v>890</v>
      </c>
      <c r="BP280" s="238"/>
      <c r="BQ280" s="240"/>
      <c r="BR280" s="240"/>
      <c r="BS280" s="240"/>
      <c r="BT280" s="240"/>
      <c r="BU280" s="240"/>
      <c r="BV280" s="240"/>
      <c r="BW280" s="240"/>
      <c r="BX280" s="240"/>
      <c r="BY280" s="240"/>
      <c r="BZ280" s="240"/>
      <c r="CA280" s="240"/>
      <c r="CB280" s="240"/>
      <c r="CC280" s="240"/>
      <c r="CD280" s="240"/>
      <c r="CE280" s="240"/>
      <c r="CF280" s="238"/>
      <c r="CG280" s="240" t="s">
        <v>890</v>
      </c>
      <c r="CH280" s="240"/>
      <c r="CI280" s="240"/>
      <c r="CJ280" s="240"/>
      <c r="CK280" s="240"/>
      <c r="CL280" s="240"/>
      <c r="CM280" s="240"/>
      <c r="CN280" s="240"/>
      <c r="CO280" s="240"/>
      <c r="CP280" s="240"/>
      <c r="CQ280" s="240"/>
      <c r="CR280" s="240"/>
      <c r="CS280" s="238"/>
      <c r="CT280" s="240"/>
      <c r="CU280" s="240"/>
      <c r="CV280" s="240"/>
      <c r="CW280" s="240"/>
      <c r="CX280" s="240"/>
      <c r="CY280" s="240"/>
      <c r="CZ280" s="240"/>
      <c r="DA280" s="240"/>
      <c r="DB280" s="240"/>
      <c r="DC280" s="240"/>
      <c r="DD280" s="240"/>
      <c r="DE280" s="240"/>
      <c r="DF280" s="238"/>
      <c r="DG280" s="240"/>
      <c r="DH280" s="240"/>
      <c r="DI280" s="240"/>
      <c r="DJ280" s="240"/>
      <c r="DK280" s="240"/>
      <c r="DL280" s="240"/>
      <c r="DM280" s="240"/>
      <c r="DN280" s="240"/>
      <c r="DO280" s="240"/>
      <c r="DP280" s="240"/>
      <c r="DQ280" s="240"/>
      <c r="DR280" s="238"/>
      <c r="DS280" s="240"/>
      <c r="DT280" s="240"/>
      <c r="DU280" s="240"/>
      <c r="DV280" s="238"/>
      <c r="DW280" s="240"/>
      <c r="DX280" s="240"/>
      <c r="DY280" s="240"/>
      <c r="DZ280" s="240"/>
      <c r="EA280" s="240"/>
      <c r="EB280" s="240"/>
      <c r="EC280" s="240"/>
      <c r="ED280" s="240"/>
      <c r="EE280" s="240"/>
      <c r="EF280" s="238"/>
      <c r="EG280" s="240"/>
      <c r="EH280" s="240"/>
      <c r="EI280" s="240"/>
      <c r="EJ280" s="238"/>
      <c r="EK280" s="240"/>
      <c r="EL280" s="238"/>
      <c r="EM280" s="240"/>
      <c r="EN280" s="240"/>
      <c r="EO280" s="240"/>
      <c r="EP280" s="240"/>
      <c r="EQ280" s="240"/>
      <c r="ER280" s="240"/>
      <c r="ES280" s="240"/>
      <c r="ET280" s="240"/>
      <c r="EU280" s="240"/>
      <c r="EV280" s="240"/>
      <c r="EW280" s="240"/>
      <c r="EX280" s="238"/>
      <c r="EY280" s="240"/>
      <c r="EZ280" s="240"/>
      <c r="FA280" s="240"/>
      <c r="FB280" s="240"/>
      <c r="FC280" s="240"/>
      <c r="FD280" s="240"/>
      <c r="FE280" s="240"/>
      <c r="FF280" s="240"/>
      <c r="FG280" s="240"/>
      <c r="FH280" s="240"/>
      <c r="FI280" s="240"/>
      <c r="FJ280" s="240"/>
      <c r="FK280" s="240"/>
      <c r="FL280" s="240"/>
      <c r="FM280" s="240"/>
      <c r="FN280" s="240"/>
      <c r="FO280" s="238"/>
      <c r="FP280" s="240"/>
      <c r="FQ280" s="240"/>
      <c r="FR280" s="240"/>
      <c r="FS280" s="240"/>
      <c r="FT280" s="240"/>
      <c r="FU280" s="240"/>
      <c r="FV280" s="240"/>
      <c r="FW280" s="240"/>
      <c r="FX280" s="240"/>
      <c r="FY280" s="240"/>
      <c r="FZ280" s="238"/>
      <c r="GA280" s="240"/>
      <c r="GB280" s="240"/>
      <c r="GC280" s="238"/>
      <c r="GD280" s="240"/>
      <c r="GE280" s="240"/>
      <c r="GF280" s="240"/>
      <c r="GG280" s="240"/>
      <c r="GH280" s="238"/>
      <c r="GI280" s="240"/>
      <c r="GJ280" s="240"/>
      <c r="GK280" s="240"/>
      <c r="GL280" s="240"/>
      <c r="GM280" s="238"/>
      <c r="GN280" s="240"/>
      <c r="GO280" s="240"/>
      <c r="GP280" s="240"/>
      <c r="GQ280" s="240"/>
      <c r="GR280" s="240"/>
      <c r="GS280" s="240"/>
      <c r="GT280" s="240"/>
      <c r="GU280" s="240"/>
      <c r="GV280" s="240"/>
      <c r="GW280" s="240"/>
      <c r="GX280" s="240"/>
      <c r="GY280" s="240"/>
      <c r="GZ280" s="240"/>
      <c r="HA280" s="240"/>
      <c r="HB280" s="240"/>
      <c r="HC280" s="240"/>
      <c r="HD280" s="238"/>
      <c r="HE280" s="240"/>
      <c r="HF280" s="240"/>
      <c r="HG280" s="240"/>
      <c r="HH280" s="240"/>
      <c r="HI280" s="240"/>
      <c r="HJ280" s="238"/>
      <c r="HK280" s="240"/>
      <c r="HL280" s="238"/>
      <c r="HM280" s="241"/>
      <c r="HN280" s="235"/>
      <c r="HO280" s="235"/>
      <c r="HP280" s="235"/>
      <c r="HQ280" s="235"/>
    </row>
    <row r="281" spans="2:225" hidden="1" outlineLevel="2">
      <c r="B281" s="275"/>
      <c r="C281" s="258" t="s">
        <v>116</v>
      </c>
      <c r="D281" s="236" t="s">
        <v>3351</v>
      </c>
      <c r="E281" s="248"/>
      <c r="F281" s="284" t="str">
        <f>IF(E281='3. Dropdowns'!C363,"","Submittals, Execution")</f>
        <v>Submittals, Execution</v>
      </c>
      <c r="G281" s="230"/>
      <c r="H281" s="238"/>
      <c r="I281" s="239"/>
      <c r="J281" s="240"/>
      <c r="K281" s="240"/>
      <c r="L281" s="240"/>
      <c r="M281" s="240"/>
      <c r="N281" s="240"/>
      <c r="O281" s="240"/>
      <c r="P281" s="240"/>
      <c r="Q281" s="240"/>
      <c r="R281" s="240"/>
      <c r="S281" s="240"/>
      <c r="T281" s="240" t="s">
        <v>890</v>
      </c>
      <c r="U281" s="240"/>
      <c r="V281" s="240"/>
      <c r="W281" s="240"/>
      <c r="X281" s="238"/>
      <c r="Y281" s="240"/>
      <c r="Z281" s="240"/>
      <c r="AA281" s="240"/>
      <c r="AB281" s="240"/>
      <c r="AC281" s="240"/>
      <c r="AD281" s="240"/>
      <c r="AE281" s="240"/>
      <c r="AF281" s="240"/>
      <c r="AG281" s="240"/>
      <c r="AH281" s="238"/>
      <c r="AI281" s="240"/>
      <c r="AJ281" s="240"/>
      <c r="AK281" s="240"/>
      <c r="AL281" s="240"/>
      <c r="AM281" s="238"/>
      <c r="AN281" s="240"/>
      <c r="AO281" s="240"/>
      <c r="AP281" s="240"/>
      <c r="AQ281" s="238"/>
      <c r="AR281" s="240"/>
      <c r="AS281" s="240"/>
      <c r="AT281" s="240"/>
      <c r="AU281" s="240"/>
      <c r="AV281" s="240"/>
      <c r="AW281" s="240"/>
      <c r="AX281" s="240"/>
      <c r="AY281" s="240"/>
      <c r="AZ281" s="238"/>
      <c r="BA281" s="240"/>
      <c r="BB281" s="240"/>
      <c r="BC281" s="240"/>
      <c r="BD281" s="240"/>
      <c r="BE281" s="240"/>
      <c r="BF281" s="240"/>
      <c r="BG281" s="240"/>
      <c r="BH281" s="240"/>
      <c r="BI281" s="240"/>
      <c r="BJ281" s="240"/>
      <c r="BK281" s="240"/>
      <c r="BL281" s="240"/>
      <c r="BM281" s="240"/>
      <c r="BN281" s="240"/>
      <c r="BO281" s="240"/>
      <c r="BP281" s="238"/>
      <c r="BQ281" s="240"/>
      <c r="BR281" s="240"/>
      <c r="BS281" s="240"/>
      <c r="BT281" s="240"/>
      <c r="BU281" s="240"/>
      <c r="BV281" s="240"/>
      <c r="BW281" s="240"/>
      <c r="BX281" s="240"/>
      <c r="BY281" s="240"/>
      <c r="BZ281" s="240"/>
      <c r="CA281" s="240"/>
      <c r="CB281" s="240"/>
      <c r="CC281" s="240"/>
      <c r="CD281" s="240"/>
      <c r="CE281" s="240"/>
      <c r="CF281" s="238"/>
      <c r="CG281" s="240"/>
      <c r="CH281" s="240"/>
      <c r="CI281" s="240"/>
      <c r="CJ281" s="240"/>
      <c r="CK281" s="240"/>
      <c r="CL281" s="240"/>
      <c r="CM281" s="240"/>
      <c r="CN281" s="240"/>
      <c r="CO281" s="240"/>
      <c r="CP281" s="240"/>
      <c r="CQ281" s="240"/>
      <c r="CR281" s="240"/>
      <c r="CS281" s="238"/>
      <c r="CT281" s="240"/>
      <c r="CU281" s="240"/>
      <c r="CV281" s="240"/>
      <c r="CW281" s="240"/>
      <c r="CX281" s="240"/>
      <c r="CY281" s="240"/>
      <c r="CZ281" s="240"/>
      <c r="DA281" s="240"/>
      <c r="DB281" s="240"/>
      <c r="DC281" s="240"/>
      <c r="DD281" s="240"/>
      <c r="DE281" s="240"/>
      <c r="DF281" s="238"/>
      <c r="DG281" s="240"/>
      <c r="DH281" s="240" t="s">
        <v>890</v>
      </c>
      <c r="DI281" s="240"/>
      <c r="DJ281" s="240"/>
      <c r="DK281" s="240"/>
      <c r="DL281" s="240"/>
      <c r="DM281" s="240"/>
      <c r="DN281" s="240"/>
      <c r="DO281" s="240"/>
      <c r="DP281" s="240"/>
      <c r="DQ281" s="240"/>
      <c r="DR281" s="238"/>
      <c r="DS281" s="240" t="s">
        <v>890</v>
      </c>
      <c r="DT281" s="240" t="s">
        <v>890</v>
      </c>
      <c r="DU281" s="240"/>
      <c r="DV281" s="238"/>
      <c r="DW281" s="240"/>
      <c r="DX281" s="240"/>
      <c r="DY281" s="240"/>
      <c r="DZ281" s="240" t="s">
        <v>890</v>
      </c>
      <c r="EA281" s="240"/>
      <c r="EB281" s="240" t="s">
        <v>890</v>
      </c>
      <c r="EC281" s="240"/>
      <c r="ED281" s="240"/>
      <c r="EE281" s="240"/>
      <c r="EF281" s="238"/>
      <c r="EG281" s="240"/>
      <c r="EH281" s="240"/>
      <c r="EI281" s="240"/>
      <c r="EJ281" s="238"/>
      <c r="EK281" s="240"/>
      <c r="EL281" s="238"/>
      <c r="EM281" s="240"/>
      <c r="EN281" s="240"/>
      <c r="EO281" s="240"/>
      <c r="EP281" s="240"/>
      <c r="EQ281" s="240"/>
      <c r="ER281" s="240"/>
      <c r="ES281" s="240"/>
      <c r="ET281" s="240"/>
      <c r="EU281" s="240"/>
      <c r="EV281" s="240" t="s">
        <v>890</v>
      </c>
      <c r="EW281" s="240"/>
      <c r="EX281" s="238"/>
      <c r="EY281" s="240"/>
      <c r="EZ281" s="240"/>
      <c r="FA281" s="240"/>
      <c r="FB281" s="240"/>
      <c r="FC281" s="240"/>
      <c r="FD281" s="240"/>
      <c r="FE281" s="240"/>
      <c r="FF281" s="240"/>
      <c r="FG281" s="240"/>
      <c r="FH281" s="240"/>
      <c r="FI281" s="240"/>
      <c r="FJ281" s="240"/>
      <c r="FK281" s="240"/>
      <c r="FL281" s="240"/>
      <c r="FM281" s="240"/>
      <c r="FN281" s="240"/>
      <c r="FO281" s="238"/>
      <c r="FP281" s="240"/>
      <c r="FQ281" s="240"/>
      <c r="FR281" s="240"/>
      <c r="FS281" s="240"/>
      <c r="FT281" s="240"/>
      <c r="FU281" s="240"/>
      <c r="FV281" s="240"/>
      <c r="FW281" s="240"/>
      <c r="FX281" s="240"/>
      <c r="FY281" s="240"/>
      <c r="FZ281" s="238"/>
      <c r="GA281" s="240"/>
      <c r="GB281" s="240"/>
      <c r="GC281" s="238"/>
      <c r="GD281" s="240"/>
      <c r="GE281" s="240"/>
      <c r="GF281" s="240"/>
      <c r="GG281" s="240"/>
      <c r="GH281" s="238"/>
      <c r="GI281" s="240"/>
      <c r="GJ281" s="240"/>
      <c r="GK281" s="240"/>
      <c r="GL281" s="240"/>
      <c r="GM281" s="238"/>
      <c r="GN281" s="240"/>
      <c r="GO281" s="240"/>
      <c r="GP281" s="240"/>
      <c r="GQ281" s="240"/>
      <c r="GR281" s="240"/>
      <c r="GS281" s="240"/>
      <c r="GT281" s="240"/>
      <c r="GU281" s="240"/>
      <c r="GV281" s="240"/>
      <c r="GW281" s="240"/>
      <c r="GX281" s="240"/>
      <c r="GY281" s="240"/>
      <c r="GZ281" s="240"/>
      <c r="HA281" s="240"/>
      <c r="HB281" s="240"/>
      <c r="HC281" s="240"/>
      <c r="HD281" s="238"/>
      <c r="HE281" s="240"/>
      <c r="HF281" s="240"/>
      <c r="HG281" s="240"/>
      <c r="HH281" s="240"/>
      <c r="HI281" s="240"/>
      <c r="HJ281" s="238"/>
      <c r="HK281" s="240"/>
      <c r="HL281" s="238"/>
      <c r="HM281" s="241"/>
      <c r="HN281" s="235"/>
      <c r="HO281" s="235"/>
      <c r="HP281" s="235"/>
      <c r="HQ281" s="235"/>
    </row>
    <row r="282" spans="2:225" hidden="1" outlineLevel="2">
      <c r="B282" s="275"/>
      <c r="C282" s="258" t="s">
        <v>116</v>
      </c>
      <c r="D282" s="236" t="s">
        <v>3352</v>
      </c>
      <c r="E282" s="248"/>
      <c r="F282" s="284" t="str">
        <f>IF(E282='3. Dropdowns'!C363,"","Submittals")</f>
        <v>Submittals</v>
      </c>
      <c r="G282" s="230"/>
      <c r="H282" s="238"/>
      <c r="I282" s="239"/>
      <c r="J282" s="240"/>
      <c r="K282" s="240"/>
      <c r="L282" s="240"/>
      <c r="M282" s="240"/>
      <c r="N282" s="240"/>
      <c r="O282" s="240"/>
      <c r="P282" s="240"/>
      <c r="Q282" s="240"/>
      <c r="R282" s="240"/>
      <c r="S282" s="240"/>
      <c r="T282" s="240" t="s">
        <v>890</v>
      </c>
      <c r="U282" s="240"/>
      <c r="V282" s="240"/>
      <c r="W282" s="240"/>
      <c r="X282" s="238"/>
      <c r="Y282" s="240"/>
      <c r="Z282" s="240"/>
      <c r="AA282" s="240"/>
      <c r="AB282" s="240"/>
      <c r="AC282" s="240"/>
      <c r="AD282" s="240"/>
      <c r="AE282" s="240"/>
      <c r="AF282" s="240"/>
      <c r="AG282" s="240"/>
      <c r="AH282" s="238"/>
      <c r="AI282" s="240"/>
      <c r="AJ282" s="240"/>
      <c r="AK282" s="240"/>
      <c r="AL282" s="240"/>
      <c r="AM282" s="238"/>
      <c r="AN282" s="240"/>
      <c r="AO282" s="240"/>
      <c r="AP282" s="240"/>
      <c r="AQ282" s="238"/>
      <c r="AR282" s="240"/>
      <c r="AS282" s="240"/>
      <c r="AT282" s="240"/>
      <c r="AU282" s="240"/>
      <c r="AV282" s="240"/>
      <c r="AW282" s="240"/>
      <c r="AX282" s="240"/>
      <c r="AY282" s="240"/>
      <c r="AZ282" s="238"/>
      <c r="BA282" s="240"/>
      <c r="BB282" s="240"/>
      <c r="BC282" s="240"/>
      <c r="BD282" s="240"/>
      <c r="BE282" s="240"/>
      <c r="BF282" s="240"/>
      <c r="BG282" s="240"/>
      <c r="BH282" s="240"/>
      <c r="BI282" s="240"/>
      <c r="BJ282" s="240"/>
      <c r="BK282" s="240"/>
      <c r="BL282" s="240"/>
      <c r="BM282" s="240"/>
      <c r="BN282" s="240"/>
      <c r="BO282" s="240"/>
      <c r="BP282" s="238"/>
      <c r="BQ282" s="240"/>
      <c r="BR282" s="240"/>
      <c r="BS282" s="240"/>
      <c r="BT282" s="240"/>
      <c r="BU282" s="240"/>
      <c r="BV282" s="240"/>
      <c r="BW282" s="240"/>
      <c r="BX282" s="240"/>
      <c r="BY282" s="240"/>
      <c r="BZ282" s="240"/>
      <c r="CA282" s="240"/>
      <c r="CB282" s="240"/>
      <c r="CC282" s="240"/>
      <c r="CD282" s="240"/>
      <c r="CE282" s="240"/>
      <c r="CF282" s="238"/>
      <c r="CG282" s="240"/>
      <c r="CH282" s="240"/>
      <c r="CI282" s="240"/>
      <c r="CJ282" s="240"/>
      <c r="CK282" s="240"/>
      <c r="CL282" s="240"/>
      <c r="CM282" s="240"/>
      <c r="CN282" s="240"/>
      <c r="CO282" s="240"/>
      <c r="CP282" s="240"/>
      <c r="CQ282" s="240"/>
      <c r="CR282" s="240"/>
      <c r="CS282" s="238"/>
      <c r="CT282" s="240"/>
      <c r="CU282" s="240"/>
      <c r="CV282" s="240"/>
      <c r="CW282" s="240"/>
      <c r="CX282" s="240"/>
      <c r="CY282" s="240"/>
      <c r="CZ282" s="240"/>
      <c r="DA282" s="240"/>
      <c r="DB282" s="240"/>
      <c r="DC282" s="240"/>
      <c r="DD282" s="240"/>
      <c r="DE282" s="240"/>
      <c r="DF282" s="238"/>
      <c r="DG282" s="240"/>
      <c r="DH282" s="240"/>
      <c r="DI282" s="240"/>
      <c r="DJ282" s="240" t="s">
        <v>890</v>
      </c>
      <c r="DK282" s="240"/>
      <c r="DL282" s="240"/>
      <c r="DM282" s="240"/>
      <c r="DN282" s="240"/>
      <c r="DO282" s="240"/>
      <c r="DP282" s="240"/>
      <c r="DQ282" s="240"/>
      <c r="DR282" s="238"/>
      <c r="DS282" s="240"/>
      <c r="DT282" s="240"/>
      <c r="DU282" s="240"/>
      <c r="DV282" s="238"/>
      <c r="DW282" s="240"/>
      <c r="DX282" s="240"/>
      <c r="DY282" s="240"/>
      <c r="DZ282" s="240"/>
      <c r="EA282" s="240"/>
      <c r="EB282" s="240"/>
      <c r="EC282" s="240"/>
      <c r="ED282" s="240"/>
      <c r="EE282" s="240"/>
      <c r="EF282" s="238"/>
      <c r="EG282" s="240"/>
      <c r="EH282" s="240"/>
      <c r="EI282" s="240"/>
      <c r="EJ282" s="238"/>
      <c r="EK282" s="240"/>
      <c r="EL282" s="238"/>
      <c r="EM282" s="240"/>
      <c r="EN282" s="240"/>
      <c r="EO282" s="240"/>
      <c r="EP282" s="240"/>
      <c r="EQ282" s="240"/>
      <c r="ER282" s="240"/>
      <c r="ES282" s="240"/>
      <c r="ET282" s="240"/>
      <c r="EU282" s="240"/>
      <c r="EV282" s="240"/>
      <c r="EW282" s="240"/>
      <c r="EX282" s="238"/>
      <c r="EY282" s="240"/>
      <c r="EZ282" s="240"/>
      <c r="FA282" s="240"/>
      <c r="FB282" s="240"/>
      <c r="FC282" s="240"/>
      <c r="FD282" s="240"/>
      <c r="FE282" s="240"/>
      <c r="FF282" s="240"/>
      <c r="FG282" s="240"/>
      <c r="FH282" s="240"/>
      <c r="FI282" s="240"/>
      <c r="FJ282" s="240"/>
      <c r="FK282" s="240"/>
      <c r="FL282" s="240"/>
      <c r="FM282" s="240"/>
      <c r="FN282" s="240"/>
      <c r="FO282" s="238"/>
      <c r="FP282" s="240"/>
      <c r="FQ282" s="240"/>
      <c r="FR282" s="240"/>
      <c r="FS282" s="240"/>
      <c r="FT282" s="240"/>
      <c r="FU282" s="240"/>
      <c r="FV282" s="240"/>
      <c r="FW282" s="240"/>
      <c r="FX282" s="240"/>
      <c r="FY282" s="240"/>
      <c r="FZ282" s="238"/>
      <c r="GA282" s="240"/>
      <c r="GB282" s="240"/>
      <c r="GC282" s="238"/>
      <c r="GD282" s="240"/>
      <c r="GE282" s="240"/>
      <c r="GF282" s="240"/>
      <c r="GG282" s="240"/>
      <c r="GH282" s="238"/>
      <c r="GI282" s="240"/>
      <c r="GJ282" s="240"/>
      <c r="GK282" s="240"/>
      <c r="GL282" s="240"/>
      <c r="GM282" s="238"/>
      <c r="GN282" s="240"/>
      <c r="GO282" s="240"/>
      <c r="GP282" s="240"/>
      <c r="GQ282" s="240"/>
      <c r="GR282" s="240"/>
      <c r="GS282" s="240"/>
      <c r="GT282" s="240"/>
      <c r="GU282" s="240"/>
      <c r="GV282" s="240"/>
      <c r="GW282" s="240"/>
      <c r="GX282" s="240"/>
      <c r="GY282" s="240"/>
      <c r="GZ282" s="240"/>
      <c r="HA282" s="240"/>
      <c r="HB282" s="240"/>
      <c r="HC282" s="240"/>
      <c r="HD282" s="238"/>
      <c r="HE282" s="240"/>
      <c r="HF282" s="240"/>
      <c r="HG282" s="240"/>
      <c r="HH282" s="240"/>
      <c r="HI282" s="240"/>
      <c r="HJ282" s="238"/>
      <c r="HK282" s="240"/>
      <c r="HL282" s="238"/>
      <c r="HM282" s="241"/>
      <c r="HN282" s="235"/>
      <c r="HO282" s="235"/>
      <c r="HP282" s="235"/>
      <c r="HQ282" s="235"/>
    </row>
    <row r="283" spans="2:225" hidden="1" outlineLevel="1" collapsed="1">
      <c r="B283" s="275"/>
      <c r="C283" s="258" t="s">
        <v>116</v>
      </c>
      <c r="D283" s="236" t="s">
        <v>3353</v>
      </c>
      <c r="E283" s="248"/>
      <c r="F283" s="237"/>
      <c r="G283" s="230"/>
      <c r="H283" s="238"/>
      <c r="I283" s="239"/>
      <c r="J283" s="240"/>
      <c r="K283" s="240"/>
      <c r="L283" s="240"/>
      <c r="M283" s="240"/>
      <c r="N283" s="240"/>
      <c r="O283" s="240"/>
      <c r="P283" s="240"/>
      <c r="Q283" s="240"/>
      <c r="R283" s="240"/>
      <c r="S283" s="240"/>
      <c r="T283" s="240" t="s">
        <v>890</v>
      </c>
      <c r="U283" s="240"/>
      <c r="V283" s="240"/>
      <c r="W283" s="240"/>
      <c r="X283" s="238"/>
      <c r="Y283" s="240"/>
      <c r="Z283" s="240"/>
      <c r="AA283" s="240"/>
      <c r="AB283" s="240"/>
      <c r="AC283" s="240"/>
      <c r="AD283" s="240"/>
      <c r="AE283" s="240"/>
      <c r="AF283" s="240"/>
      <c r="AG283" s="240"/>
      <c r="AH283" s="238"/>
      <c r="AI283" s="240"/>
      <c r="AJ283" s="240"/>
      <c r="AK283" s="240"/>
      <c r="AL283" s="240"/>
      <c r="AM283" s="238"/>
      <c r="AN283" s="240"/>
      <c r="AO283" s="240"/>
      <c r="AP283" s="240"/>
      <c r="AQ283" s="238"/>
      <c r="AR283" s="240"/>
      <c r="AS283" s="240"/>
      <c r="AT283" s="240"/>
      <c r="AU283" s="240"/>
      <c r="AV283" s="240"/>
      <c r="AW283" s="240"/>
      <c r="AX283" s="240"/>
      <c r="AY283" s="240"/>
      <c r="AZ283" s="238"/>
      <c r="BA283" s="240"/>
      <c r="BB283" s="240"/>
      <c r="BC283" s="240"/>
      <c r="BD283" s="240"/>
      <c r="BE283" s="240"/>
      <c r="BF283" s="240"/>
      <c r="BG283" s="240"/>
      <c r="BH283" s="240"/>
      <c r="BI283" s="240"/>
      <c r="BJ283" s="240"/>
      <c r="BK283" s="240"/>
      <c r="BL283" s="240"/>
      <c r="BM283" s="240"/>
      <c r="BN283" s="240"/>
      <c r="BO283" s="240"/>
      <c r="BP283" s="238"/>
      <c r="BQ283" s="240"/>
      <c r="BR283" s="240"/>
      <c r="BS283" s="240"/>
      <c r="BT283" s="240"/>
      <c r="BU283" s="240"/>
      <c r="BV283" s="240"/>
      <c r="BW283" s="240"/>
      <c r="BX283" s="240"/>
      <c r="BY283" s="240"/>
      <c r="BZ283" s="240"/>
      <c r="CA283" s="240"/>
      <c r="CB283" s="240"/>
      <c r="CC283" s="240"/>
      <c r="CD283" s="240"/>
      <c r="CE283" s="240"/>
      <c r="CF283" s="238"/>
      <c r="CG283" s="240"/>
      <c r="CH283" s="240"/>
      <c r="CI283" s="240"/>
      <c r="CJ283" s="240"/>
      <c r="CK283" s="240"/>
      <c r="CL283" s="240"/>
      <c r="CM283" s="240"/>
      <c r="CN283" s="240"/>
      <c r="CO283" s="240"/>
      <c r="CP283" s="240"/>
      <c r="CQ283" s="240"/>
      <c r="CR283" s="240"/>
      <c r="CS283" s="238"/>
      <c r="CT283" s="240"/>
      <c r="CU283" s="240"/>
      <c r="CV283" s="240"/>
      <c r="CW283" s="240" t="s">
        <v>890</v>
      </c>
      <c r="CX283" s="240" t="s">
        <v>890</v>
      </c>
      <c r="CY283" s="240"/>
      <c r="CZ283" s="240"/>
      <c r="DA283" s="240" t="s">
        <v>890</v>
      </c>
      <c r="DB283" s="240"/>
      <c r="DC283" s="240"/>
      <c r="DD283" s="240"/>
      <c r="DE283" s="240" t="s">
        <v>890</v>
      </c>
      <c r="DF283" s="238"/>
      <c r="DG283" s="240"/>
      <c r="DH283" s="240"/>
      <c r="DI283" s="240"/>
      <c r="DJ283" s="240"/>
      <c r="DK283" s="240"/>
      <c r="DL283" s="240"/>
      <c r="DM283" s="240"/>
      <c r="DN283" s="240"/>
      <c r="DO283" s="240"/>
      <c r="DP283" s="240"/>
      <c r="DQ283" s="240"/>
      <c r="DR283" s="238"/>
      <c r="DS283" s="240"/>
      <c r="DT283" s="240"/>
      <c r="DU283" s="240"/>
      <c r="DV283" s="238"/>
      <c r="DW283" s="240"/>
      <c r="DX283" s="240" t="s">
        <v>890</v>
      </c>
      <c r="DY283" s="240"/>
      <c r="DZ283" s="240"/>
      <c r="EA283" s="240"/>
      <c r="EB283" s="240"/>
      <c r="EC283" s="240"/>
      <c r="ED283" s="240" t="s">
        <v>890</v>
      </c>
      <c r="EE283" s="240"/>
      <c r="EF283" s="238"/>
      <c r="EG283" s="240" t="s">
        <v>890</v>
      </c>
      <c r="EH283" s="240"/>
      <c r="EI283" s="240"/>
      <c r="EJ283" s="238"/>
      <c r="EK283" s="240"/>
      <c r="EL283" s="238"/>
      <c r="EM283" s="240"/>
      <c r="EN283" s="240"/>
      <c r="EO283" s="240"/>
      <c r="EP283" s="240"/>
      <c r="EQ283" s="240"/>
      <c r="ER283" s="240"/>
      <c r="ES283" s="240"/>
      <c r="ET283" s="240"/>
      <c r="EU283" s="240"/>
      <c r="EV283" s="240"/>
      <c r="EW283" s="240"/>
      <c r="EX283" s="238"/>
      <c r="EY283" s="240"/>
      <c r="EZ283" s="240"/>
      <c r="FA283" s="240"/>
      <c r="FB283" s="240"/>
      <c r="FC283" s="240"/>
      <c r="FD283" s="240"/>
      <c r="FE283" s="240"/>
      <c r="FF283" s="240"/>
      <c r="FG283" s="240"/>
      <c r="FH283" s="240"/>
      <c r="FI283" s="240"/>
      <c r="FJ283" s="240"/>
      <c r="FK283" s="240"/>
      <c r="FL283" s="240"/>
      <c r="FM283" s="240"/>
      <c r="FN283" s="240"/>
      <c r="FO283" s="238"/>
      <c r="FP283" s="240"/>
      <c r="FQ283" s="240"/>
      <c r="FR283" s="240"/>
      <c r="FS283" s="240"/>
      <c r="FT283" s="240" t="s">
        <v>890</v>
      </c>
      <c r="FU283" s="240"/>
      <c r="FV283" s="240"/>
      <c r="FW283" s="240"/>
      <c r="FX283" s="240"/>
      <c r="FY283" s="240" t="s">
        <v>890</v>
      </c>
      <c r="FZ283" s="238"/>
      <c r="GA283" s="240"/>
      <c r="GB283" s="240"/>
      <c r="GC283" s="238"/>
      <c r="GD283" s="240"/>
      <c r="GE283" s="240"/>
      <c r="GF283" s="240"/>
      <c r="GG283" s="240"/>
      <c r="GH283" s="238"/>
      <c r="GI283" s="240"/>
      <c r="GJ283" s="240"/>
      <c r="GK283" s="240"/>
      <c r="GL283" s="240" t="s">
        <v>890</v>
      </c>
      <c r="GM283" s="238"/>
      <c r="GN283" s="240"/>
      <c r="GO283" s="240"/>
      <c r="GP283" s="240"/>
      <c r="GQ283" s="240"/>
      <c r="GR283" s="240"/>
      <c r="GS283" s="240"/>
      <c r="GT283" s="240"/>
      <c r="GU283" s="240"/>
      <c r="GV283" s="240"/>
      <c r="GW283" s="240"/>
      <c r="GX283" s="240"/>
      <c r="GY283" s="240" t="s">
        <v>890</v>
      </c>
      <c r="GZ283" s="240"/>
      <c r="HA283" s="240"/>
      <c r="HB283" s="240" t="s">
        <v>890</v>
      </c>
      <c r="HC283" s="240" t="s">
        <v>890</v>
      </c>
      <c r="HD283" s="238"/>
      <c r="HE283" s="240"/>
      <c r="HF283" s="240"/>
      <c r="HG283" s="240"/>
      <c r="HH283" s="240"/>
      <c r="HI283" s="240"/>
      <c r="HJ283" s="238"/>
      <c r="HK283" s="240"/>
      <c r="HL283" s="238"/>
      <c r="HM283" s="241"/>
      <c r="HN283" s="235"/>
      <c r="HO283" s="235"/>
      <c r="HP283" s="235"/>
      <c r="HQ283" s="235"/>
    </row>
    <row r="284" spans="2:225" hidden="1" outlineLevel="2">
      <c r="B284" s="303" t="s">
        <v>1479</v>
      </c>
      <c r="C284" s="252" t="str">
        <f>IF(OR(E283='3. Dropdowns'!C364,E283='3. Dropdowns'!C366),"Hide","Show")</f>
        <v>Show</v>
      </c>
      <c r="D284" s="236" t="s">
        <v>3354</v>
      </c>
      <c r="E284" s="248"/>
      <c r="F284" s="284" t="str">
        <f>IF(E284='3. Dropdowns'!C369,"","Submittals")</f>
        <v>Submittals</v>
      </c>
      <c r="G284" s="230"/>
      <c r="H284" s="238"/>
      <c r="I284" s="239"/>
      <c r="J284" s="240"/>
      <c r="K284" s="240"/>
      <c r="L284" s="240"/>
      <c r="M284" s="240"/>
      <c r="N284" s="240"/>
      <c r="O284" s="240"/>
      <c r="P284" s="240"/>
      <c r="Q284" s="240"/>
      <c r="R284" s="240"/>
      <c r="S284" s="240"/>
      <c r="T284" s="240" t="s">
        <v>890</v>
      </c>
      <c r="U284" s="240"/>
      <c r="V284" s="240"/>
      <c r="W284" s="240"/>
      <c r="X284" s="238"/>
      <c r="Y284" s="240"/>
      <c r="Z284" s="240"/>
      <c r="AA284" s="240"/>
      <c r="AB284" s="240"/>
      <c r="AC284" s="240"/>
      <c r="AD284" s="240"/>
      <c r="AE284" s="240"/>
      <c r="AF284" s="240"/>
      <c r="AG284" s="240"/>
      <c r="AH284" s="238"/>
      <c r="AI284" s="240"/>
      <c r="AJ284" s="240"/>
      <c r="AK284" s="240"/>
      <c r="AL284" s="240"/>
      <c r="AM284" s="238"/>
      <c r="AN284" s="240"/>
      <c r="AO284" s="240"/>
      <c r="AP284" s="240"/>
      <c r="AQ284" s="238"/>
      <c r="AR284" s="240"/>
      <c r="AS284" s="240"/>
      <c r="AT284" s="240"/>
      <c r="AU284" s="240"/>
      <c r="AV284" s="240"/>
      <c r="AW284" s="240"/>
      <c r="AX284" s="240"/>
      <c r="AY284" s="240"/>
      <c r="AZ284" s="238"/>
      <c r="BA284" s="240"/>
      <c r="BB284" s="240"/>
      <c r="BC284" s="240"/>
      <c r="BD284" s="240"/>
      <c r="BE284" s="240"/>
      <c r="BF284" s="240"/>
      <c r="BG284" s="240"/>
      <c r="BH284" s="240"/>
      <c r="BI284" s="240"/>
      <c r="BJ284" s="240"/>
      <c r="BK284" s="240"/>
      <c r="BL284" s="240"/>
      <c r="BM284" s="240"/>
      <c r="BN284" s="240"/>
      <c r="BO284" s="240"/>
      <c r="BP284" s="238"/>
      <c r="BQ284" s="240"/>
      <c r="BR284" s="240"/>
      <c r="BS284" s="240"/>
      <c r="BT284" s="240"/>
      <c r="BU284" s="240"/>
      <c r="BV284" s="240"/>
      <c r="BW284" s="240"/>
      <c r="BX284" s="240"/>
      <c r="BY284" s="240"/>
      <c r="BZ284" s="240"/>
      <c r="CA284" s="240"/>
      <c r="CB284" s="240"/>
      <c r="CC284" s="240"/>
      <c r="CD284" s="240"/>
      <c r="CE284" s="240"/>
      <c r="CF284" s="238"/>
      <c r="CG284" s="240"/>
      <c r="CH284" s="240"/>
      <c r="CI284" s="240"/>
      <c r="CJ284" s="240"/>
      <c r="CK284" s="240"/>
      <c r="CL284" s="240"/>
      <c r="CM284" s="240"/>
      <c r="CN284" s="240"/>
      <c r="CO284" s="240"/>
      <c r="CP284" s="240"/>
      <c r="CQ284" s="240"/>
      <c r="CR284" s="240"/>
      <c r="CS284" s="238"/>
      <c r="CT284" s="240"/>
      <c r="CU284" s="240"/>
      <c r="CV284" s="240"/>
      <c r="CW284" s="240"/>
      <c r="CX284" s="240"/>
      <c r="CY284" s="240"/>
      <c r="CZ284" s="240"/>
      <c r="DA284" s="240"/>
      <c r="DB284" s="240"/>
      <c r="DC284" s="240"/>
      <c r="DD284" s="240"/>
      <c r="DE284" s="240"/>
      <c r="DF284" s="238"/>
      <c r="DG284" s="240"/>
      <c r="DH284" s="240"/>
      <c r="DI284" s="240"/>
      <c r="DJ284" s="240"/>
      <c r="DK284" s="240"/>
      <c r="DL284" s="240"/>
      <c r="DM284" s="240"/>
      <c r="DN284" s="240"/>
      <c r="DO284" s="240"/>
      <c r="DP284" s="240"/>
      <c r="DQ284" s="240"/>
      <c r="DR284" s="238"/>
      <c r="DS284" s="240"/>
      <c r="DT284" s="240"/>
      <c r="DU284" s="240"/>
      <c r="DV284" s="238"/>
      <c r="DW284" s="240"/>
      <c r="DX284" s="240"/>
      <c r="DY284" s="240"/>
      <c r="DZ284" s="240"/>
      <c r="EA284" s="240"/>
      <c r="EB284" s="240"/>
      <c r="EC284" s="240"/>
      <c r="ED284" s="240"/>
      <c r="EE284" s="240"/>
      <c r="EF284" s="238"/>
      <c r="EG284" s="240"/>
      <c r="EH284" s="240"/>
      <c r="EI284" s="240"/>
      <c r="EJ284" s="238"/>
      <c r="EK284" s="240"/>
      <c r="EL284" s="238"/>
      <c r="EM284" s="240"/>
      <c r="EN284" s="240"/>
      <c r="EO284" s="240"/>
      <c r="EP284" s="240"/>
      <c r="EQ284" s="240"/>
      <c r="ER284" s="240"/>
      <c r="ES284" s="240"/>
      <c r="ET284" s="240"/>
      <c r="EU284" s="240"/>
      <c r="EV284" s="240"/>
      <c r="EW284" s="240"/>
      <c r="EX284" s="238"/>
      <c r="EY284" s="240"/>
      <c r="EZ284" s="240"/>
      <c r="FA284" s="240"/>
      <c r="FB284" s="240"/>
      <c r="FC284" s="240"/>
      <c r="FD284" s="240"/>
      <c r="FE284" s="240"/>
      <c r="FF284" s="240"/>
      <c r="FG284" s="240"/>
      <c r="FH284" s="240"/>
      <c r="FI284" s="240"/>
      <c r="FJ284" s="240"/>
      <c r="FK284" s="240"/>
      <c r="FL284" s="240"/>
      <c r="FM284" s="240"/>
      <c r="FN284" s="240"/>
      <c r="FO284" s="238"/>
      <c r="FP284" s="240"/>
      <c r="FQ284" s="240"/>
      <c r="FR284" s="240"/>
      <c r="FS284" s="240"/>
      <c r="FT284" s="240"/>
      <c r="FU284" s="240"/>
      <c r="FV284" s="240"/>
      <c r="FW284" s="240"/>
      <c r="FX284" s="240"/>
      <c r="FY284" s="240"/>
      <c r="FZ284" s="238"/>
      <c r="GA284" s="240"/>
      <c r="GB284" s="240"/>
      <c r="GC284" s="238"/>
      <c r="GD284" s="240"/>
      <c r="GE284" s="240"/>
      <c r="GF284" s="240"/>
      <c r="GG284" s="240"/>
      <c r="GH284" s="238"/>
      <c r="GI284" s="240"/>
      <c r="GJ284" s="240"/>
      <c r="GK284" s="240"/>
      <c r="GL284" s="240"/>
      <c r="GM284" s="238"/>
      <c r="GN284" s="240"/>
      <c r="GO284" s="240"/>
      <c r="GP284" s="240"/>
      <c r="GQ284" s="240"/>
      <c r="GR284" s="240"/>
      <c r="GS284" s="240"/>
      <c r="GT284" s="240"/>
      <c r="GU284" s="240"/>
      <c r="GV284" s="240"/>
      <c r="GW284" s="240"/>
      <c r="GX284" s="240"/>
      <c r="GY284" s="240"/>
      <c r="GZ284" s="240"/>
      <c r="HA284" s="240"/>
      <c r="HB284" s="240"/>
      <c r="HC284" s="240"/>
      <c r="HD284" s="238"/>
      <c r="HE284" s="240"/>
      <c r="HF284" s="240"/>
      <c r="HG284" s="240"/>
      <c r="HH284" s="240"/>
      <c r="HI284" s="240"/>
      <c r="HJ284" s="238"/>
      <c r="HK284" s="240"/>
      <c r="HL284" s="238"/>
      <c r="HM284" s="241"/>
      <c r="HN284" s="235"/>
      <c r="HO284" s="235"/>
      <c r="HP284" s="235"/>
      <c r="HQ284" s="235"/>
    </row>
    <row r="285" spans="2:225" hidden="1" outlineLevel="2">
      <c r="B285" s="303" t="s">
        <v>1479</v>
      </c>
      <c r="C285" s="252" t="str">
        <f>IF(OR(E283='3. Dropdowns'!C364,E283='3. Dropdowns'!C366),"Hide","Show")</f>
        <v>Show</v>
      </c>
      <c r="D285" s="236" t="s">
        <v>3355</v>
      </c>
      <c r="E285" s="248"/>
      <c r="F285" s="284" t="str">
        <f>IF(E285='3. Dropdowns'!C369,"","Submittals, Products, Execution")</f>
        <v>Submittals, Products, Execution</v>
      </c>
      <c r="G285" s="230"/>
      <c r="H285" s="238"/>
      <c r="I285" s="239"/>
      <c r="J285" s="240"/>
      <c r="K285" s="240"/>
      <c r="L285" s="240"/>
      <c r="M285" s="240"/>
      <c r="N285" s="240"/>
      <c r="O285" s="240"/>
      <c r="P285" s="240"/>
      <c r="Q285" s="240"/>
      <c r="R285" s="240"/>
      <c r="S285" s="240"/>
      <c r="T285" s="240" t="s">
        <v>890</v>
      </c>
      <c r="U285" s="240"/>
      <c r="V285" s="240"/>
      <c r="W285" s="240"/>
      <c r="X285" s="238"/>
      <c r="Y285" s="240"/>
      <c r="Z285" s="240"/>
      <c r="AA285" s="240"/>
      <c r="AB285" s="240"/>
      <c r="AC285" s="240"/>
      <c r="AD285" s="240"/>
      <c r="AE285" s="240"/>
      <c r="AF285" s="240"/>
      <c r="AG285" s="240"/>
      <c r="AH285" s="238"/>
      <c r="AI285" s="240"/>
      <c r="AJ285" s="240"/>
      <c r="AK285" s="240"/>
      <c r="AL285" s="240"/>
      <c r="AM285" s="238"/>
      <c r="AN285" s="240"/>
      <c r="AO285" s="240"/>
      <c r="AP285" s="240"/>
      <c r="AQ285" s="238"/>
      <c r="AR285" s="240"/>
      <c r="AS285" s="240"/>
      <c r="AT285" s="240"/>
      <c r="AU285" s="240"/>
      <c r="AV285" s="240"/>
      <c r="AW285" s="240"/>
      <c r="AX285" s="240"/>
      <c r="AY285" s="240"/>
      <c r="AZ285" s="238"/>
      <c r="BA285" s="240"/>
      <c r="BB285" s="240"/>
      <c r="BC285" s="240"/>
      <c r="BD285" s="240"/>
      <c r="BE285" s="240"/>
      <c r="BF285" s="240"/>
      <c r="BG285" s="240"/>
      <c r="BH285" s="240"/>
      <c r="BI285" s="240"/>
      <c r="BJ285" s="240"/>
      <c r="BK285" s="240"/>
      <c r="BL285" s="240"/>
      <c r="BM285" s="240"/>
      <c r="BN285" s="240"/>
      <c r="BO285" s="240"/>
      <c r="BP285" s="238"/>
      <c r="BQ285" s="240"/>
      <c r="BR285" s="240"/>
      <c r="BS285" s="240"/>
      <c r="BT285" s="240"/>
      <c r="BU285" s="240"/>
      <c r="BV285" s="240"/>
      <c r="BW285" s="240"/>
      <c r="BX285" s="240"/>
      <c r="BY285" s="240"/>
      <c r="BZ285" s="240"/>
      <c r="CA285" s="240"/>
      <c r="CB285" s="240"/>
      <c r="CC285" s="240"/>
      <c r="CD285" s="240"/>
      <c r="CE285" s="240"/>
      <c r="CF285" s="238"/>
      <c r="CG285" s="240"/>
      <c r="CH285" s="240"/>
      <c r="CI285" s="240"/>
      <c r="CJ285" s="240"/>
      <c r="CK285" s="240"/>
      <c r="CL285" s="240"/>
      <c r="CM285" s="240"/>
      <c r="CN285" s="240"/>
      <c r="CO285" s="240"/>
      <c r="CP285" s="240"/>
      <c r="CQ285" s="240"/>
      <c r="CR285" s="240"/>
      <c r="CS285" s="238"/>
      <c r="CT285" s="240"/>
      <c r="CU285" s="240"/>
      <c r="CV285" s="240"/>
      <c r="CW285" s="240" t="s">
        <v>890</v>
      </c>
      <c r="CX285" s="240" t="s">
        <v>890</v>
      </c>
      <c r="CY285" s="240"/>
      <c r="CZ285" s="240"/>
      <c r="DA285" s="240" t="s">
        <v>890</v>
      </c>
      <c r="DB285" s="240"/>
      <c r="DC285" s="240"/>
      <c r="DD285" s="240"/>
      <c r="DE285" s="240" t="s">
        <v>890</v>
      </c>
      <c r="DF285" s="238"/>
      <c r="DG285" s="240"/>
      <c r="DH285" s="240"/>
      <c r="DI285" s="240"/>
      <c r="DJ285" s="240"/>
      <c r="DK285" s="240"/>
      <c r="DL285" s="240"/>
      <c r="DM285" s="240"/>
      <c r="DN285" s="240"/>
      <c r="DO285" s="240"/>
      <c r="DP285" s="240"/>
      <c r="DQ285" s="240"/>
      <c r="DR285" s="238"/>
      <c r="DS285" s="240"/>
      <c r="DT285" s="240"/>
      <c r="DU285" s="240"/>
      <c r="DV285" s="238"/>
      <c r="DW285" s="240"/>
      <c r="DX285" s="240"/>
      <c r="DY285" s="240"/>
      <c r="DZ285" s="240"/>
      <c r="EA285" s="240"/>
      <c r="EB285" s="240"/>
      <c r="EC285" s="240"/>
      <c r="ED285" s="240" t="s">
        <v>890</v>
      </c>
      <c r="EE285" s="240"/>
      <c r="EF285" s="238"/>
      <c r="EG285" s="240"/>
      <c r="EH285" s="240"/>
      <c r="EI285" s="240"/>
      <c r="EJ285" s="238"/>
      <c r="EK285" s="240"/>
      <c r="EL285" s="238"/>
      <c r="EM285" s="240"/>
      <c r="EN285" s="240"/>
      <c r="EO285" s="240"/>
      <c r="EP285" s="240"/>
      <c r="EQ285" s="240"/>
      <c r="ER285" s="240"/>
      <c r="ES285" s="240"/>
      <c r="ET285" s="240"/>
      <c r="EU285" s="240"/>
      <c r="EV285" s="240"/>
      <c r="EW285" s="240"/>
      <c r="EX285" s="238"/>
      <c r="EY285" s="240"/>
      <c r="EZ285" s="240"/>
      <c r="FA285" s="240"/>
      <c r="FB285" s="240"/>
      <c r="FC285" s="240"/>
      <c r="FD285" s="240"/>
      <c r="FE285" s="240"/>
      <c r="FF285" s="240"/>
      <c r="FG285" s="240"/>
      <c r="FH285" s="240"/>
      <c r="FI285" s="240"/>
      <c r="FJ285" s="240"/>
      <c r="FK285" s="240"/>
      <c r="FL285" s="240"/>
      <c r="FM285" s="240"/>
      <c r="FN285" s="240"/>
      <c r="FO285" s="238"/>
      <c r="FP285" s="240"/>
      <c r="FQ285" s="240"/>
      <c r="FR285" s="240"/>
      <c r="FS285" s="240"/>
      <c r="FT285" s="240"/>
      <c r="FU285" s="240"/>
      <c r="FV285" s="240"/>
      <c r="FW285" s="240"/>
      <c r="FX285" s="240"/>
      <c r="FY285" s="240"/>
      <c r="FZ285" s="238"/>
      <c r="GA285" s="240"/>
      <c r="GB285" s="240"/>
      <c r="GC285" s="238"/>
      <c r="GD285" s="240"/>
      <c r="GE285" s="240"/>
      <c r="GF285" s="240"/>
      <c r="GG285" s="240"/>
      <c r="GH285" s="238"/>
      <c r="GI285" s="240"/>
      <c r="GJ285" s="240"/>
      <c r="GK285" s="240"/>
      <c r="GL285" s="240"/>
      <c r="GM285" s="238"/>
      <c r="GN285" s="240"/>
      <c r="GO285" s="240"/>
      <c r="GP285" s="240"/>
      <c r="GQ285" s="240"/>
      <c r="GR285" s="240"/>
      <c r="GS285" s="240"/>
      <c r="GT285" s="240"/>
      <c r="GU285" s="240"/>
      <c r="GV285" s="240"/>
      <c r="GW285" s="240"/>
      <c r="GX285" s="240"/>
      <c r="GY285" s="240"/>
      <c r="GZ285" s="240"/>
      <c r="HA285" s="240"/>
      <c r="HB285" s="240"/>
      <c r="HC285" s="240"/>
      <c r="HD285" s="238"/>
      <c r="HE285" s="240"/>
      <c r="HF285" s="240"/>
      <c r="HG285" s="240"/>
      <c r="HH285" s="240"/>
      <c r="HI285" s="240"/>
      <c r="HJ285" s="238"/>
      <c r="HK285" s="240"/>
      <c r="HL285" s="238"/>
      <c r="HM285" s="241"/>
      <c r="HN285" s="235"/>
      <c r="HO285" s="235"/>
      <c r="HP285" s="235"/>
      <c r="HQ285" s="235"/>
    </row>
    <row r="286" spans="2:225" hidden="1" outlineLevel="2">
      <c r="B286" s="303" t="s">
        <v>1479</v>
      </c>
      <c r="C286" s="252" t="str">
        <f>IF(OR(E283='3. Dropdowns'!C364,E283='3. Dropdowns'!C366),"Hide","Show")</f>
        <v>Show</v>
      </c>
      <c r="D286" s="236" t="s">
        <v>3356</v>
      </c>
      <c r="E286" s="248"/>
      <c r="F286" s="284" t="str">
        <f>IF(E286='3. Dropdowns'!C369,"","Submittals, Products")</f>
        <v>Submittals, Products</v>
      </c>
      <c r="G286" s="230"/>
      <c r="H286" s="238"/>
      <c r="I286" s="239"/>
      <c r="J286" s="240"/>
      <c r="K286" s="240"/>
      <c r="L286" s="240"/>
      <c r="M286" s="240"/>
      <c r="N286" s="240"/>
      <c r="O286" s="240"/>
      <c r="P286" s="240"/>
      <c r="Q286" s="240"/>
      <c r="R286" s="240"/>
      <c r="S286" s="240"/>
      <c r="T286" s="240" t="s">
        <v>890</v>
      </c>
      <c r="U286" s="240"/>
      <c r="V286" s="240"/>
      <c r="W286" s="240"/>
      <c r="X286" s="238"/>
      <c r="Y286" s="240"/>
      <c r="Z286" s="240"/>
      <c r="AA286" s="240"/>
      <c r="AB286" s="240"/>
      <c r="AC286" s="240"/>
      <c r="AD286" s="240"/>
      <c r="AE286" s="240"/>
      <c r="AF286" s="240"/>
      <c r="AG286" s="240"/>
      <c r="AH286" s="238"/>
      <c r="AI286" s="240"/>
      <c r="AJ286" s="240"/>
      <c r="AK286" s="240"/>
      <c r="AL286" s="240"/>
      <c r="AM286" s="238"/>
      <c r="AN286" s="240"/>
      <c r="AO286" s="240"/>
      <c r="AP286" s="240"/>
      <c r="AQ286" s="238"/>
      <c r="AR286" s="240"/>
      <c r="AS286" s="240"/>
      <c r="AT286" s="240"/>
      <c r="AU286" s="240"/>
      <c r="AV286" s="240"/>
      <c r="AW286" s="240"/>
      <c r="AX286" s="240"/>
      <c r="AY286" s="240"/>
      <c r="AZ286" s="238"/>
      <c r="BA286" s="240"/>
      <c r="BB286" s="240"/>
      <c r="BC286" s="240"/>
      <c r="BD286" s="240"/>
      <c r="BE286" s="240"/>
      <c r="BF286" s="240"/>
      <c r="BG286" s="240"/>
      <c r="BH286" s="240"/>
      <c r="BI286" s="240"/>
      <c r="BJ286" s="240"/>
      <c r="BK286" s="240"/>
      <c r="BL286" s="240"/>
      <c r="BM286" s="240"/>
      <c r="BN286" s="240"/>
      <c r="BO286" s="240"/>
      <c r="BP286" s="238"/>
      <c r="BQ286" s="240"/>
      <c r="BR286" s="240"/>
      <c r="BS286" s="240"/>
      <c r="BT286" s="240"/>
      <c r="BU286" s="240"/>
      <c r="BV286" s="240"/>
      <c r="BW286" s="240"/>
      <c r="BX286" s="240"/>
      <c r="BY286" s="240"/>
      <c r="BZ286" s="240"/>
      <c r="CA286" s="240"/>
      <c r="CB286" s="240"/>
      <c r="CC286" s="240"/>
      <c r="CD286" s="240"/>
      <c r="CE286" s="240"/>
      <c r="CF286" s="238"/>
      <c r="CG286" s="240"/>
      <c r="CH286" s="240"/>
      <c r="CI286" s="240"/>
      <c r="CJ286" s="240"/>
      <c r="CK286" s="240"/>
      <c r="CL286" s="240"/>
      <c r="CM286" s="240"/>
      <c r="CN286" s="240"/>
      <c r="CO286" s="240"/>
      <c r="CP286" s="240"/>
      <c r="CQ286" s="240"/>
      <c r="CR286" s="240"/>
      <c r="CS286" s="238"/>
      <c r="CT286" s="240"/>
      <c r="CU286" s="240"/>
      <c r="CV286" s="240"/>
      <c r="CW286" s="240"/>
      <c r="CX286" s="240"/>
      <c r="CY286" s="240"/>
      <c r="CZ286" s="240"/>
      <c r="DA286" s="240"/>
      <c r="DB286" s="240"/>
      <c r="DC286" s="240"/>
      <c r="DD286" s="240"/>
      <c r="DE286" s="240"/>
      <c r="DF286" s="238"/>
      <c r="DG286" s="240"/>
      <c r="DH286" s="240"/>
      <c r="DI286" s="240"/>
      <c r="DJ286" s="240"/>
      <c r="DK286" s="240"/>
      <c r="DL286" s="240"/>
      <c r="DM286" s="240"/>
      <c r="DN286" s="240"/>
      <c r="DO286" s="240"/>
      <c r="DP286" s="240"/>
      <c r="DQ286" s="240"/>
      <c r="DR286" s="238"/>
      <c r="DS286" s="240"/>
      <c r="DT286" s="240"/>
      <c r="DU286" s="240"/>
      <c r="DV286" s="238"/>
      <c r="DW286" s="240"/>
      <c r="DX286" s="240"/>
      <c r="DY286" s="240"/>
      <c r="DZ286" s="240"/>
      <c r="EA286" s="240"/>
      <c r="EB286" s="240"/>
      <c r="EC286" s="240"/>
      <c r="ED286" s="240"/>
      <c r="EE286" s="240"/>
      <c r="EF286" s="238"/>
      <c r="EG286" s="240"/>
      <c r="EH286" s="240"/>
      <c r="EI286" s="240"/>
      <c r="EJ286" s="238"/>
      <c r="EK286" s="240"/>
      <c r="EL286" s="238"/>
      <c r="EM286" s="240"/>
      <c r="EN286" s="240"/>
      <c r="EO286" s="240"/>
      <c r="EP286" s="240"/>
      <c r="EQ286" s="240"/>
      <c r="ER286" s="240"/>
      <c r="ES286" s="240"/>
      <c r="ET286" s="240"/>
      <c r="EU286" s="240"/>
      <c r="EV286" s="240"/>
      <c r="EW286" s="240"/>
      <c r="EX286" s="238"/>
      <c r="EY286" s="240"/>
      <c r="EZ286" s="240"/>
      <c r="FA286" s="240"/>
      <c r="FB286" s="240"/>
      <c r="FC286" s="240"/>
      <c r="FD286" s="240"/>
      <c r="FE286" s="240"/>
      <c r="FF286" s="240"/>
      <c r="FG286" s="240"/>
      <c r="FH286" s="240"/>
      <c r="FI286" s="240"/>
      <c r="FJ286" s="240"/>
      <c r="FK286" s="240"/>
      <c r="FL286" s="240"/>
      <c r="FM286" s="240"/>
      <c r="FN286" s="240"/>
      <c r="FO286" s="238"/>
      <c r="FP286" s="240"/>
      <c r="FQ286" s="240"/>
      <c r="FR286" s="240"/>
      <c r="FS286" s="240"/>
      <c r="FT286" s="240" t="s">
        <v>890</v>
      </c>
      <c r="FU286" s="240"/>
      <c r="FV286" s="240"/>
      <c r="FW286" s="240"/>
      <c r="FX286" s="240"/>
      <c r="FY286" s="240" t="s">
        <v>890</v>
      </c>
      <c r="FZ286" s="238"/>
      <c r="GA286" s="240"/>
      <c r="GB286" s="240"/>
      <c r="GC286" s="238"/>
      <c r="GD286" s="240"/>
      <c r="GE286" s="240"/>
      <c r="GF286" s="240"/>
      <c r="GG286" s="240"/>
      <c r="GH286" s="238"/>
      <c r="GI286" s="240"/>
      <c r="GJ286" s="240"/>
      <c r="GK286" s="240"/>
      <c r="GL286" s="240"/>
      <c r="GM286" s="238"/>
      <c r="GN286" s="240"/>
      <c r="GO286" s="240"/>
      <c r="GP286" s="240"/>
      <c r="GQ286" s="240"/>
      <c r="GR286" s="240"/>
      <c r="GS286" s="240"/>
      <c r="GT286" s="240"/>
      <c r="GU286" s="240"/>
      <c r="GV286" s="240"/>
      <c r="GW286" s="240"/>
      <c r="GX286" s="240"/>
      <c r="GY286" s="240"/>
      <c r="GZ286" s="240"/>
      <c r="HA286" s="240"/>
      <c r="HB286" s="240"/>
      <c r="HC286" s="240"/>
      <c r="HD286" s="238"/>
      <c r="HE286" s="240"/>
      <c r="HF286" s="240"/>
      <c r="HG286" s="240"/>
      <c r="HH286" s="240"/>
      <c r="HI286" s="240"/>
      <c r="HJ286" s="238"/>
      <c r="HK286" s="240"/>
      <c r="HL286" s="238"/>
      <c r="HM286" s="241"/>
      <c r="HN286" s="235"/>
      <c r="HO286" s="235"/>
      <c r="HP286" s="235"/>
      <c r="HQ286" s="235"/>
    </row>
    <row r="287" spans="2:225" hidden="1" outlineLevel="2">
      <c r="B287" s="303" t="s">
        <v>1479</v>
      </c>
      <c r="C287" s="252" t="str">
        <f>IF(OR(E283='3. Dropdowns'!C364,E283='3. Dropdowns'!C366),"Hide","Show")</f>
        <v>Show</v>
      </c>
      <c r="D287" s="236" t="s">
        <v>3357</v>
      </c>
      <c r="E287" s="248"/>
      <c r="F287" s="284" t="str">
        <f>IF(E287='3. Dropdowns'!C369,"","Submittals")</f>
        <v>Submittals</v>
      </c>
      <c r="G287" s="230"/>
      <c r="H287" s="238"/>
      <c r="I287" s="239"/>
      <c r="J287" s="240"/>
      <c r="K287" s="240"/>
      <c r="L287" s="240"/>
      <c r="M287" s="240"/>
      <c r="N287" s="240"/>
      <c r="O287" s="240"/>
      <c r="P287" s="240"/>
      <c r="Q287" s="240"/>
      <c r="R287" s="240"/>
      <c r="S287" s="240"/>
      <c r="T287" s="240" t="s">
        <v>890</v>
      </c>
      <c r="U287" s="240"/>
      <c r="V287" s="240"/>
      <c r="W287" s="240"/>
      <c r="X287" s="238"/>
      <c r="Y287" s="240"/>
      <c r="Z287" s="240"/>
      <c r="AA287" s="240"/>
      <c r="AB287" s="240"/>
      <c r="AC287" s="240"/>
      <c r="AD287" s="240"/>
      <c r="AE287" s="240"/>
      <c r="AF287" s="240"/>
      <c r="AG287" s="240"/>
      <c r="AH287" s="238"/>
      <c r="AI287" s="240"/>
      <c r="AJ287" s="240"/>
      <c r="AK287" s="240"/>
      <c r="AL287" s="240"/>
      <c r="AM287" s="238"/>
      <c r="AN287" s="240"/>
      <c r="AO287" s="240"/>
      <c r="AP287" s="240"/>
      <c r="AQ287" s="238"/>
      <c r="AR287" s="240"/>
      <c r="AS287" s="240"/>
      <c r="AT287" s="240"/>
      <c r="AU287" s="240"/>
      <c r="AV287" s="240"/>
      <c r="AW287" s="240"/>
      <c r="AX287" s="240"/>
      <c r="AY287" s="240"/>
      <c r="AZ287" s="238"/>
      <c r="BA287" s="240"/>
      <c r="BB287" s="240"/>
      <c r="BC287" s="240"/>
      <c r="BD287" s="240"/>
      <c r="BE287" s="240"/>
      <c r="BF287" s="240"/>
      <c r="BG287" s="240"/>
      <c r="BH287" s="240"/>
      <c r="BI287" s="240"/>
      <c r="BJ287" s="240"/>
      <c r="BK287" s="240"/>
      <c r="BL287" s="240"/>
      <c r="BM287" s="240"/>
      <c r="BN287" s="240"/>
      <c r="BO287" s="240"/>
      <c r="BP287" s="238"/>
      <c r="BQ287" s="240"/>
      <c r="BR287" s="240"/>
      <c r="BS287" s="240"/>
      <c r="BT287" s="240"/>
      <c r="BU287" s="240"/>
      <c r="BV287" s="240"/>
      <c r="BW287" s="240"/>
      <c r="BX287" s="240"/>
      <c r="BY287" s="240"/>
      <c r="BZ287" s="240"/>
      <c r="CA287" s="240"/>
      <c r="CB287" s="240"/>
      <c r="CC287" s="240"/>
      <c r="CD287" s="240"/>
      <c r="CE287" s="240"/>
      <c r="CF287" s="238"/>
      <c r="CG287" s="240"/>
      <c r="CH287" s="240"/>
      <c r="CI287" s="240"/>
      <c r="CJ287" s="240"/>
      <c r="CK287" s="240"/>
      <c r="CL287" s="240"/>
      <c r="CM287" s="240"/>
      <c r="CN287" s="240"/>
      <c r="CO287" s="240"/>
      <c r="CP287" s="240"/>
      <c r="CQ287" s="240"/>
      <c r="CR287" s="240"/>
      <c r="CS287" s="238"/>
      <c r="CT287" s="240"/>
      <c r="CU287" s="240"/>
      <c r="CV287" s="240"/>
      <c r="CW287" s="240"/>
      <c r="CX287" s="240"/>
      <c r="CY287" s="240"/>
      <c r="CZ287" s="240"/>
      <c r="DA287" s="240"/>
      <c r="DB287" s="240"/>
      <c r="DC287" s="240"/>
      <c r="DD287" s="240"/>
      <c r="DE287" s="240"/>
      <c r="DF287" s="238"/>
      <c r="DG287" s="240"/>
      <c r="DH287" s="240"/>
      <c r="DI287" s="240"/>
      <c r="DJ287" s="240"/>
      <c r="DK287" s="240"/>
      <c r="DL287" s="240"/>
      <c r="DM287" s="240"/>
      <c r="DN287" s="240"/>
      <c r="DO287" s="240"/>
      <c r="DP287" s="240"/>
      <c r="DQ287" s="240"/>
      <c r="DR287" s="238"/>
      <c r="DS287" s="240"/>
      <c r="DT287" s="240"/>
      <c r="DU287" s="240"/>
      <c r="DV287" s="238"/>
      <c r="DW287" s="240"/>
      <c r="DX287" s="240"/>
      <c r="DY287" s="240"/>
      <c r="DZ287" s="240"/>
      <c r="EA287" s="240"/>
      <c r="EB287" s="240"/>
      <c r="EC287" s="240"/>
      <c r="ED287" s="240"/>
      <c r="EE287" s="240"/>
      <c r="EF287" s="238"/>
      <c r="EG287" s="240"/>
      <c r="EH287" s="240"/>
      <c r="EI287" s="240"/>
      <c r="EJ287" s="238"/>
      <c r="EK287" s="240"/>
      <c r="EL287" s="238"/>
      <c r="EM287" s="240"/>
      <c r="EN287" s="240"/>
      <c r="EO287" s="240"/>
      <c r="EP287" s="240"/>
      <c r="EQ287" s="240"/>
      <c r="ER287" s="240"/>
      <c r="ES287" s="240"/>
      <c r="ET287" s="240"/>
      <c r="EU287" s="240"/>
      <c r="EV287" s="240"/>
      <c r="EW287" s="240"/>
      <c r="EX287" s="238"/>
      <c r="EY287" s="240"/>
      <c r="EZ287" s="240"/>
      <c r="FA287" s="240"/>
      <c r="FB287" s="240"/>
      <c r="FC287" s="240"/>
      <c r="FD287" s="240"/>
      <c r="FE287" s="240"/>
      <c r="FF287" s="240"/>
      <c r="FG287" s="240"/>
      <c r="FH287" s="240"/>
      <c r="FI287" s="240"/>
      <c r="FJ287" s="240"/>
      <c r="FK287" s="240"/>
      <c r="FL287" s="240"/>
      <c r="FM287" s="240"/>
      <c r="FN287" s="240"/>
      <c r="FO287" s="238"/>
      <c r="FP287" s="240"/>
      <c r="FQ287" s="240"/>
      <c r="FR287" s="240"/>
      <c r="FS287" s="240"/>
      <c r="FT287" s="240"/>
      <c r="FU287" s="240"/>
      <c r="FV287" s="240"/>
      <c r="FW287" s="240"/>
      <c r="FX287" s="240"/>
      <c r="FY287" s="240"/>
      <c r="FZ287" s="238"/>
      <c r="GA287" s="240"/>
      <c r="GB287" s="240"/>
      <c r="GC287" s="238"/>
      <c r="GD287" s="240"/>
      <c r="GE287" s="240"/>
      <c r="GF287" s="240"/>
      <c r="GG287" s="240"/>
      <c r="GH287" s="238"/>
      <c r="GI287" s="240"/>
      <c r="GJ287" s="240"/>
      <c r="GK287" s="240"/>
      <c r="GL287" s="240"/>
      <c r="GM287" s="238"/>
      <c r="GN287" s="240"/>
      <c r="GO287" s="240"/>
      <c r="GP287" s="240"/>
      <c r="GQ287" s="240"/>
      <c r="GR287" s="240"/>
      <c r="GS287" s="240"/>
      <c r="GT287" s="240"/>
      <c r="GU287" s="240"/>
      <c r="GV287" s="240"/>
      <c r="GW287" s="240"/>
      <c r="GX287" s="240"/>
      <c r="GY287" s="240"/>
      <c r="GZ287" s="240"/>
      <c r="HA287" s="240"/>
      <c r="HB287" s="240"/>
      <c r="HC287" s="240"/>
      <c r="HD287" s="238"/>
      <c r="HE287" s="240"/>
      <c r="HF287" s="240"/>
      <c r="HG287" s="240"/>
      <c r="HH287" s="240"/>
      <c r="HI287" s="240"/>
      <c r="HJ287" s="238"/>
      <c r="HK287" s="240"/>
      <c r="HL287" s="238"/>
      <c r="HM287" s="241"/>
      <c r="HN287" s="235"/>
      <c r="HO287" s="235"/>
      <c r="HP287" s="235"/>
      <c r="HQ287" s="235"/>
    </row>
    <row r="288" spans="2:225" hidden="1" outlineLevel="2">
      <c r="B288" s="303" t="s">
        <v>1480</v>
      </c>
      <c r="C288" s="252" t="str">
        <f>IF(OR(E283='3. Dropdowns'!C364,E283='3. Dropdowns'!C365),"Hide","Show")</f>
        <v>Show</v>
      </c>
      <c r="D288" s="236" t="s">
        <v>3358</v>
      </c>
      <c r="E288" s="248"/>
      <c r="F288" s="284" t="str">
        <f>IF(E288='3. Dropdowns'!C369,"","Submittals, Products")</f>
        <v>Submittals, Products</v>
      </c>
      <c r="G288" s="230"/>
      <c r="H288" s="238"/>
      <c r="I288" s="239"/>
      <c r="J288" s="240"/>
      <c r="K288" s="240"/>
      <c r="L288" s="240"/>
      <c r="M288" s="240"/>
      <c r="N288" s="240"/>
      <c r="O288" s="240"/>
      <c r="P288" s="240"/>
      <c r="Q288" s="240"/>
      <c r="R288" s="240"/>
      <c r="S288" s="240"/>
      <c r="T288" s="240" t="s">
        <v>890</v>
      </c>
      <c r="U288" s="240"/>
      <c r="V288" s="240"/>
      <c r="W288" s="240"/>
      <c r="X288" s="238"/>
      <c r="Y288" s="240"/>
      <c r="Z288" s="240"/>
      <c r="AA288" s="240"/>
      <c r="AB288" s="240"/>
      <c r="AC288" s="240"/>
      <c r="AD288" s="240"/>
      <c r="AE288" s="240"/>
      <c r="AF288" s="240"/>
      <c r="AG288" s="240"/>
      <c r="AH288" s="238"/>
      <c r="AI288" s="240"/>
      <c r="AJ288" s="240"/>
      <c r="AK288" s="240"/>
      <c r="AL288" s="240"/>
      <c r="AM288" s="238"/>
      <c r="AN288" s="240"/>
      <c r="AO288" s="240"/>
      <c r="AP288" s="240"/>
      <c r="AQ288" s="238"/>
      <c r="AR288" s="240"/>
      <c r="AS288" s="240"/>
      <c r="AT288" s="240"/>
      <c r="AU288" s="240"/>
      <c r="AV288" s="240"/>
      <c r="AW288" s="240"/>
      <c r="AX288" s="240"/>
      <c r="AY288" s="240"/>
      <c r="AZ288" s="238"/>
      <c r="BA288" s="240"/>
      <c r="BB288" s="240"/>
      <c r="BC288" s="240"/>
      <c r="BD288" s="240"/>
      <c r="BE288" s="240"/>
      <c r="BF288" s="240"/>
      <c r="BG288" s="240"/>
      <c r="BH288" s="240"/>
      <c r="BI288" s="240"/>
      <c r="BJ288" s="240"/>
      <c r="BK288" s="240"/>
      <c r="BL288" s="240"/>
      <c r="BM288" s="240"/>
      <c r="BN288" s="240"/>
      <c r="BO288" s="240"/>
      <c r="BP288" s="238"/>
      <c r="BQ288" s="240"/>
      <c r="BR288" s="240"/>
      <c r="BS288" s="240"/>
      <c r="BT288" s="240"/>
      <c r="BU288" s="240"/>
      <c r="BV288" s="240"/>
      <c r="BW288" s="240"/>
      <c r="BX288" s="240"/>
      <c r="BY288" s="240"/>
      <c r="BZ288" s="240"/>
      <c r="CA288" s="240"/>
      <c r="CB288" s="240"/>
      <c r="CC288" s="240"/>
      <c r="CD288" s="240"/>
      <c r="CE288" s="240"/>
      <c r="CF288" s="238"/>
      <c r="CG288" s="240"/>
      <c r="CH288" s="240"/>
      <c r="CI288" s="240"/>
      <c r="CJ288" s="240"/>
      <c r="CK288" s="240"/>
      <c r="CL288" s="240"/>
      <c r="CM288" s="240"/>
      <c r="CN288" s="240"/>
      <c r="CO288" s="240"/>
      <c r="CP288" s="240"/>
      <c r="CQ288" s="240"/>
      <c r="CR288" s="240"/>
      <c r="CS288" s="238"/>
      <c r="CT288" s="240"/>
      <c r="CU288" s="240"/>
      <c r="CV288" s="240"/>
      <c r="CW288" s="240"/>
      <c r="CX288" s="240"/>
      <c r="CY288" s="240"/>
      <c r="CZ288" s="240"/>
      <c r="DA288" s="240"/>
      <c r="DB288" s="240"/>
      <c r="DC288" s="240"/>
      <c r="DD288" s="240"/>
      <c r="DE288" s="240"/>
      <c r="DF288" s="238"/>
      <c r="DG288" s="240"/>
      <c r="DH288" s="240"/>
      <c r="DI288" s="240"/>
      <c r="DJ288" s="240"/>
      <c r="DK288" s="240"/>
      <c r="DL288" s="240"/>
      <c r="DM288" s="240"/>
      <c r="DN288" s="240"/>
      <c r="DO288" s="240"/>
      <c r="DP288" s="240"/>
      <c r="DQ288" s="240"/>
      <c r="DR288" s="238"/>
      <c r="DS288" s="240"/>
      <c r="DT288" s="240"/>
      <c r="DU288" s="240"/>
      <c r="DV288" s="238"/>
      <c r="DW288" s="240"/>
      <c r="DX288" s="240"/>
      <c r="DY288" s="240"/>
      <c r="DZ288" s="240"/>
      <c r="EA288" s="240"/>
      <c r="EB288" s="240"/>
      <c r="EC288" s="240"/>
      <c r="ED288" s="240"/>
      <c r="EE288" s="240"/>
      <c r="EF288" s="238"/>
      <c r="EG288" s="240"/>
      <c r="EH288" s="240"/>
      <c r="EI288" s="240"/>
      <c r="EJ288" s="238"/>
      <c r="EK288" s="240"/>
      <c r="EL288" s="238"/>
      <c r="EM288" s="240"/>
      <c r="EN288" s="240"/>
      <c r="EO288" s="240"/>
      <c r="EP288" s="240"/>
      <c r="EQ288" s="240"/>
      <c r="ER288" s="240"/>
      <c r="ES288" s="240"/>
      <c r="ET288" s="240"/>
      <c r="EU288" s="240"/>
      <c r="EV288" s="240"/>
      <c r="EW288" s="240"/>
      <c r="EX288" s="238"/>
      <c r="EY288" s="240"/>
      <c r="EZ288" s="240"/>
      <c r="FA288" s="240"/>
      <c r="FB288" s="240"/>
      <c r="FC288" s="240"/>
      <c r="FD288" s="240"/>
      <c r="FE288" s="240"/>
      <c r="FF288" s="240"/>
      <c r="FG288" s="240"/>
      <c r="FH288" s="240"/>
      <c r="FI288" s="240"/>
      <c r="FJ288" s="240"/>
      <c r="FK288" s="240"/>
      <c r="FL288" s="240"/>
      <c r="FM288" s="240"/>
      <c r="FN288" s="240"/>
      <c r="FO288" s="238"/>
      <c r="FP288" s="240"/>
      <c r="FQ288" s="240"/>
      <c r="FR288" s="240"/>
      <c r="FS288" s="240"/>
      <c r="FT288" s="240"/>
      <c r="FU288" s="240"/>
      <c r="FV288" s="240"/>
      <c r="FW288" s="240"/>
      <c r="FX288" s="240"/>
      <c r="FY288" s="240"/>
      <c r="FZ288" s="238"/>
      <c r="GA288" s="240"/>
      <c r="GB288" s="240"/>
      <c r="GC288" s="238"/>
      <c r="GD288" s="240"/>
      <c r="GE288" s="240"/>
      <c r="GF288" s="240"/>
      <c r="GG288" s="240"/>
      <c r="GH288" s="238"/>
      <c r="GI288" s="240"/>
      <c r="GJ288" s="240"/>
      <c r="GK288" s="240"/>
      <c r="GL288" s="240" t="s">
        <v>890</v>
      </c>
      <c r="GM288" s="238"/>
      <c r="GN288" s="240"/>
      <c r="GO288" s="240"/>
      <c r="GP288" s="240"/>
      <c r="GQ288" s="240"/>
      <c r="GR288" s="240"/>
      <c r="GS288" s="240"/>
      <c r="GT288" s="240"/>
      <c r="GU288" s="240"/>
      <c r="GV288" s="240"/>
      <c r="GW288" s="240"/>
      <c r="GX288" s="240"/>
      <c r="GY288" s="240" t="s">
        <v>890</v>
      </c>
      <c r="GZ288" s="240"/>
      <c r="HA288" s="240"/>
      <c r="HB288" s="240" t="s">
        <v>890</v>
      </c>
      <c r="HC288" s="240"/>
      <c r="HD288" s="238"/>
      <c r="HE288" s="240"/>
      <c r="HF288" s="240"/>
      <c r="HG288" s="240"/>
      <c r="HH288" s="240"/>
      <c r="HI288" s="240"/>
      <c r="HJ288" s="238"/>
      <c r="HK288" s="240"/>
      <c r="HL288" s="238"/>
      <c r="HM288" s="241"/>
      <c r="HN288" s="235"/>
      <c r="HO288" s="235"/>
      <c r="HP288" s="235"/>
      <c r="HQ288" s="235"/>
    </row>
    <row r="289" spans="2:225" hidden="1" outlineLevel="2">
      <c r="B289" s="303" t="s">
        <v>1480</v>
      </c>
      <c r="C289" s="252" t="str">
        <f>IF(OR(E283='3. Dropdowns'!C364,E283='3. Dropdowns'!C365),"Hide","Show")</f>
        <v>Show</v>
      </c>
      <c r="D289" s="236" t="s">
        <v>3359</v>
      </c>
      <c r="E289" s="248"/>
      <c r="F289" s="284" t="str">
        <f>IF(E289='3. Dropdowns'!C369,"","Submittals, Execution")</f>
        <v>Submittals, Execution</v>
      </c>
      <c r="G289" s="230"/>
      <c r="H289" s="238"/>
      <c r="I289" s="239"/>
      <c r="J289" s="240"/>
      <c r="K289" s="240"/>
      <c r="L289" s="240"/>
      <c r="M289" s="240"/>
      <c r="N289" s="240"/>
      <c r="O289" s="240"/>
      <c r="P289" s="240"/>
      <c r="Q289" s="240"/>
      <c r="R289" s="240"/>
      <c r="S289" s="240"/>
      <c r="T289" s="240" t="s">
        <v>890</v>
      </c>
      <c r="U289" s="240"/>
      <c r="V289" s="240"/>
      <c r="W289" s="240"/>
      <c r="X289" s="238"/>
      <c r="Y289" s="240"/>
      <c r="Z289" s="240"/>
      <c r="AA289" s="240"/>
      <c r="AB289" s="240"/>
      <c r="AC289" s="240"/>
      <c r="AD289" s="240"/>
      <c r="AE289" s="240"/>
      <c r="AF289" s="240"/>
      <c r="AG289" s="240"/>
      <c r="AH289" s="238"/>
      <c r="AI289" s="240"/>
      <c r="AJ289" s="240"/>
      <c r="AK289" s="240"/>
      <c r="AL289" s="240"/>
      <c r="AM289" s="238"/>
      <c r="AN289" s="240"/>
      <c r="AO289" s="240"/>
      <c r="AP289" s="240"/>
      <c r="AQ289" s="238"/>
      <c r="AR289" s="240"/>
      <c r="AS289" s="240"/>
      <c r="AT289" s="240"/>
      <c r="AU289" s="240"/>
      <c r="AV289" s="240"/>
      <c r="AW289" s="240"/>
      <c r="AX289" s="240"/>
      <c r="AY289" s="240"/>
      <c r="AZ289" s="238"/>
      <c r="BA289" s="240"/>
      <c r="BB289" s="240"/>
      <c r="BC289" s="240"/>
      <c r="BD289" s="240"/>
      <c r="BE289" s="240"/>
      <c r="BF289" s="240"/>
      <c r="BG289" s="240"/>
      <c r="BH289" s="240"/>
      <c r="BI289" s="240"/>
      <c r="BJ289" s="240"/>
      <c r="BK289" s="240"/>
      <c r="BL289" s="240"/>
      <c r="BM289" s="240"/>
      <c r="BN289" s="240"/>
      <c r="BO289" s="240"/>
      <c r="BP289" s="238"/>
      <c r="BQ289" s="240"/>
      <c r="BR289" s="240"/>
      <c r="BS289" s="240"/>
      <c r="BT289" s="240"/>
      <c r="BU289" s="240"/>
      <c r="BV289" s="240"/>
      <c r="BW289" s="240"/>
      <c r="BX289" s="240"/>
      <c r="BY289" s="240"/>
      <c r="BZ289" s="240"/>
      <c r="CA289" s="240"/>
      <c r="CB289" s="240"/>
      <c r="CC289" s="240"/>
      <c r="CD289" s="240"/>
      <c r="CE289" s="240"/>
      <c r="CF289" s="238"/>
      <c r="CG289" s="240"/>
      <c r="CH289" s="240"/>
      <c r="CI289" s="240"/>
      <c r="CJ289" s="240"/>
      <c r="CK289" s="240"/>
      <c r="CL289" s="240"/>
      <c r="CM289" s="240"/>
      <c r="CN289" s="240"/>
      <c r="CO289" s="240"/>
      <c r="CP289" s="240"/>
      <c r="CQ289" s="240"/>
      <c r="CR289" s="240"/>
      <c r="CS289" s="238"/>
      <c r="CT289" s="240"/>
      <c r="CU289" s="240"/>
      <c r="CV289" s="240"/>
      <c r="CW289" s="240"/>
      <c r="CX289" s="240"/>
      <c r="CY289" s="240"/>
      <c r="CZ289" s="240"/>
      <c r="DA289" s="240"/>
      <c r="DB289" s="240"/>
      <c r="DC289" s="240"/>
      <c r="DD289" s="240"/>
      <c r="DE289" s="240"/>
      <c r="DF289" s="238"/>
      <c r="DG289" s="240"/>
      <c r="DH289" s="240"/>
      <c r="DI289" s="240"/>
      <c r="DJ289" s="240"/>
      <c r="DK289" s="240"/>
      <c r="DL289" s="240"/>
      <c r="DM289" s="240"/>
      <c r="DN289" s="240"/>
      <c r="DO289" s="240"/>
      <c r="DP289" s="240"/>
      <c r="DQ289" s="240"/>
      <c r="DR289" s="238"/>
      <c r="DS289" s="240"/>
      <c r="DT289" s="240"/>
      <c r="DU289" s="240"/>
      <c r="DV289" s="238"/>
      <c r="DW289" s="240"/>
      <c r="DX289" s="240"/>
      <c r="DY289" s="240"/>
      <c r="DZ289" s="240"/>
      <c r="EA289" s="240"/>
      <c r="EB289" s="240"/>
      <c r="EC289" s="240"/>
      <c r="ED289" s="240"/>
      <c r="EE289" s="240"/>
      <c r="EF289" s="238"/>
      <c r="EG289" s="240"/>
      <c r="EH289" s="240"/>
      <c r="EI289" s="240"/>
      <c r="EJ289" s="238"/>
      <c r="EK289" s="240"/>
      <c r="EL289" s="238"/>
      <c r="EM289" s="240"/>
      <c r="EN289" s="240"/>
      <c r="EO289" s="240"/>
      <c r="EP289" s="240"/>
      <c r="EQ289" s="240"/>
      <c r="ER289" s="240"/>
      <c r="ES289" s="240"/>
      <c r="ET289" s="240"/>
      <c r="EU289" s="240"/>
      <c r="EV289" s="240"/>
      <c r="EW289" s="240"/>
      <c r="EX289" s="238"/>
      <c r="EY289" s="240"/>
      <c r="EZ289" s="240"/>
      <c r="FA289" s="240"/>
      <c r="FB289" s="240"/>
      <c r="FC289" s="240"/>
      <c r="FD289" s="240"/>
      <c r="FE289" s="240"/>
      <c r="FF289" s="240"/>
      <c r="FG289" s="240"/>
      <c r="FH289" s="240"/>
      <c r="FI289" s="240"/>
      <c r="FJ289" s="240"/>
      <c r="FK289" s="240"/>
      <c r="FL289" s="240"/>
      <c r="FM289" s="240"/>
      <c r="FN289" s="240"/>
      <c r="FO289" s="238"/>
      <c r="FP289" s="240"/>
      <c r="FQ289" s="240"/>
      <c r="FR289" s="240"/>
      <c r="FS289" s="240"/>
      <c r="FT289" s="240"/>
      <c r="FU289" s="240"/>
      <c r="FV289" s="240"/>
      <c r="FW289" s="240"/>
      <c r="FX289" s="240"/>
      <c r="FY289" s="240"/>
      <c r="FZ289" s="238"/>
      <c r="GA289" s="240"/>
      <c r="GB289" s="240"/>
      <c r="GC289" s="238"/>
      <c r="GD289" s="240"/>
      <c r="GE289" s="240"/>
      <c r="GF289" s="240"/>
      <c r="GG289" s="240"/>
      <c r="GH289" s="238"/>
      <c r="GI289" s="240"/>
      <c r="GJ289" s="240"/>
      <c r="GK289" s="240"/>
      <c r="GL289" s="240"/>
      <c r="GM289" s="238"/>
      <c r="GN289" s="240"/>
      <c r="GO289" s="240"/>
      <c r="GP289" s="240"/>
      <c r="GQ289" s="240"/>
      <c r="GR289" s="240"/>
      <c r="GS289" s="240"/>
      <c r="GT289" s="240"/>
      <c r="GU289" s="240"/>
      <c r="GV289" s="240"/>
      <c r="GW289" s="240"/>
      <c r="GX289" s="240"/>
      <c r="GY289" s="240" t="s">
        <v>890</v>
      </c>
      <c r="GZ289" s="240"/>
      <c r="HA289" s="240"/>
      <c r="HB289" s="240" t="s">
        <v>890</v>
      </c>
      <c r="HC289" s="240" t="s">
        <v>890</v>
      </c>
      <c r="HD289" s="238"/>
      <c r="HE289" s="240"/>
      <c r="HF289" s="240"/>
      <c r="HG289" s="240"/>
      <c r="HH289" s="240"/>
      <c r="HI289" s="240"/>
      <c r="HJ289" s="238"/>
      <c r="HK289" s="240"/>
      <c r="HL289" s="238"/>
      <c r="HM289" s="241"/>
      <c r="HN289" s="235"/>
      <c r="HO289" s="235"/>
      <c r="HP289" s="235"/>
      <c r="HQ289" s="235"/>
    </row>
    <row r="290" spans="2:225" hidden="1" outlineLevel="2">
      <c r="B290" s="303" t="s">
        <v>1480</v>
      </c>
      <c r="C290" s="252" t="str">
        <f>IF(OR(E283='3. Dropdowns'!C364,E283='3. Dropdowns'!C365),"Hide","Show")</f>
        <v>Show</v>
      </c>
      <c r="D290" s="236" t="s">
        <v>3360</v>
      </c>
      <c r="E290" s="248"/>
      <c r="F290" s="284" t="str">
        <f>IF(E290='3. Dropdowns'!C369,"","Submittals, Execution")</f>
        <v>Submittals, Execution</v>
      </c>
      <c r="G290" s="230"/>
      <c r="H290" s="238"/>
      <c r="I290" s="239"/>
      <c r="J290" s="240"/>
      <c r="K290" s="240"/>
      <c r="L290" s="240"/>
      <c r="M290" s="240"/>
      <c r="N290" s="240"/>
      <c r="O290" s="240"/>
      <c r="P290" s="240"/>
      <c r="Q290" s="240"/>
      <c r="R290" s="240"/>
      <c r="S290" s="240"/>
      <c r="T290" s="240" t="s">
        <v>890</v>
      </c>
      <c r="U290" s="240"/>
      <c r="V290" s="240"/>
      <c r="W290" s="240"/>
      <c r="X290" s="238"/>
      <c r="Y290" s="240"/>
      <c r="Z290" s="240"/>
      <c r="AA290" s="240"/>
      <c r="AB290" s="240"/>
      <c r="AC290" s="240"/>
      <c r="AD290" s="240"/>
      <c r="AE290" s="240"/>
      <c r="AF290" s="240"/>
      <c r="AG290" s="240"/>
      <c r="AH290" s="238"/>
      <c r="AI290" s="240"/>
      <c r="AJ290" s="240"/>
      <c r="AK290" s="240"/>
      <c r="AL290" s="240"/>
      <c r="AM290" s="238"/>
      <c r="AN290" s="240"/>
      <c r="AO290" s="240"/>
      <c r="AP290" s="240"/>
      <c r="AQ290" s="238"/>
      <c r="AR290" s="240"/>
      <c r="AS290" s="240"/>
      <c r="AT290" s="240"/>
      <c r="AU290" s="240"/>
      <c r="AV290" s="240"/>
      <c r="AW290" s="240"/>
      <c r="AX290" s="240"/>
      <c r="AY290" s="240"/>
      <c r="AZ290" s="238"/>
      <c r="BA290" s="240"/>
      <c r="BB290" s="240"/>
      <c r="BC290" s="240"/>
      <c r="BD290" s="240"/>
      <c r="BE290" s="240"/>
      <c r="BF290" s="240"/>
      <c r="BG290" s="240"/>
      <c r="BH290" s="240"/>
      <c r="BI290" s="240"/>
      <c r="BJ290" s="240"/>
      <c r="BK290" s="240"/>
      <c r="BL290" s="240"/>
      <c r="BM290" s="240"/>
      <c r="BN290" s="240"/>
      <c r="BO290" s="240"/>
      <c r="BP290" s="238"/>
      <c r="BQ290" s="240"/>
      <c r="BR290" s="240"/>
      <c r="BS290" s="240"/>
      <c r="BT290" s="240"/>
      <c r="BU290" s="240"/>
      <c r="BV290" s="240"/>
      <c r="BW290" s="240"/>
      <c r="BX290" s="240"/>
      <c r="BY290" s="240"/>
      <c r="BZ290" s="240"/>
      <c r="CA290" s="240"/>
      <c r="CB290" s="240"/>
      <c r="CC290" s="240"/>
      <c r="CD290" s="240"/>
      <c r="CE290" s="240"/>
      <c r="CF290" s="238"/>
      <c r="CG290" s="240"/>
      <c r="CH290" s="240"/>
      <c r="CI290" s="240"/>
      <c r="CJ290" s="240"/>
      <c r="CK290" s="240"/>
      <c r="CL290" s="240"/>
      <c r="CM290" s="240"/>
      <c r="CN290" s="240"/>
      <c r="CO290" s="240"/>
      <c r="CP290" s="240"/>
      <c r="CQ290" s="240"/>
      <c r="CR290" s="240"/>
      <c r="CS290" s="238"/>
      <c r="CT290" s="240"/>
      <c r="CU290" s="240"/>
      <c r="CV290" s="240"/>
      <c r="CW290" s="240"/>
      <c r="CX290" s="240"/>
      <c r="CY290" s="240"/>
      <c r="CZ290" s="240"/>
      <c r="DA290" s="240"/>
      <c r="DB290" s="240"/>
      <c r="DC290" s="240"/>
      <c r="DD290" s="240"/>
      <c r="DE290" s="240"/>
      <c r="DF290" s="238"/>
      <c r="DG290" s="240"/>
      <c r="DH290" s="240"/>
      <c r="DI290" s="240"/>
      <c r="DJ290" s="240"/>
      <c r="DK290" s="240"/>
      <c r="DL290" s="240"/>
      <c r="DM290" s="240"/>
      <c r="DN290" s="240"/>
      <c r="DO290" s="240"/>
      <c r="DP290" s="240"/>
      <c r="DQ290" s="240"/>
      <c r="DR290" s="238"/>
      <c r="DS290" s="240"/>
      <c r="DT290" s="240"/>
      <c r="DU290" s="240"/>
      <c r="DV290" s="238"/>
      <c r="DW290" s="240"/>
      <c r="DX290" s="240" t="s">
        <v>890</v>
      </c>
      <c r="DY290" s="240"/>
      <c r="DZ290" s="240"/>
      <c r="EA290" s="240"/>
      <c r="EB290" s="240"/>
      <c r="EC290" s="240"/>
      <c r="ED290" s="240"/>
      <c r="EE290" s="240"/>
      <c r="EF290" s="238"/>
      <c r="EG290" s="240"/>
      <c r="EH290" s="240"/>
      <c r="EI290" s="240"/>
      <c r="EJ290" s="238"/>
      <c r="EK290" s="240"/>
      <c r="EL290" s="238"/>
      <c r="EM290" s="240"/>
      <c r="EN290" s="240"/>
      <c r="EO290" s="240"/>
      <c r="EP290" s="240"/>
      <c r="EQ290" s="240"/>
      <c r="ER290" s="240"/>
      <c r="ES290" s="240"/>
      <c r="ET290" s="240"/>
      <c r="EU290" s="240"/>
      <c r="EV290" s="240"/>
      <c r="EW290" s="240"/>
      <c r="EX290" s="238"/>
      <c r="EY290" s="240"/>
      <c r="EZ290" s="240"/>
      <c r="FA290" s="240"/>
      <c r="FB290" s="240"/>
      <c r="FC290" s="240"/>
      <c r="FD290" s="240"/>
      <c r="FE290" s="240"/>
      <c r="FF290" s="240"/>
      <c r="FG290" s="240"/>
      <c r="FH290" s="240"/>
      <c r="FI290" s="240"/>
      <c r="FJ290" s="240"/>
      <c r="FK290" s="240"/>
      <c r="FL290" s="240"/>
      <c r="FM290" s="240"/>
      <c r="FN290" s="240"/>
      <c r="FO290" s="238"/>
      <c r="FP290" s="240"/>
      <c r="FQ290" s="240"/>
      <c r="FR290" s="240"/>
      <c r="FS290" s="240"/>
      <c r="FT290" s="240"/>
      <c r="FU290" s="240"/>
      <c r="FV290" s="240"/>
      <c r="FW290" s="240"/>
      <c r="FX290" s="240"/>
      <c r="FY290" s="240"/>
      <c r="FZ290" s="238"/>
      <c r="GA290" s="240"/>
      <c r="GB290" s="240"/>
      <c r="GC290" s="238"/>
      <c r="GD290" s="240"/>
      <c r="GE290" s="240"/>
      <c r="GF290" s="240"/>
      <c r="GG290" s="240"/>
      <c r="GH290" s="238"/>
      <c r="GI290" s="240"/>
      <c r="GJ290" s="240"/>
      <c r="GK290" s="240"/>
      <c r="GL290" s="240"/>
      <c r="GM290" s="238"/>
      <c r="GN290" s="240"/>
      <c r="GO290" s="240"/>
      <c r="GP290" s="240"/>
      <c r="GQ290" s="240"/>
      <c r="GR290" s="240"/>
      <c r="GS290" s="240"/>
      <c r="GT290" s="240"/>
      <c r="GU290" s="240"/>
      <c r="GV290" s="240"/>
      <c r="GW290" s="240"/>
      <c r="GX290" s="240"/>
      <c r="GY290" s="240" t="s">
        <v>890</v>
      </c>
      <c r="GZ290" s="240"/>
      <c r="HA290" s="240"/>
      <c r="HB290" s="240" t="s">
        <v>890</v>
      </c>
      <c r="HC290" s="240"/>
      <c r="HD290" s="238"/>
      <c r="HE290" s="240"/>
      <c r="HF290" s="240"/>
      <c r="HG290" s="240"/>
      <c r="HH290" s="240"/>
      <c r="HI290" s="240"/>
      <c r="HJ290" s="238"/>
      <c r="HK290" s="240"/>
      <c r="HL290" s="238"/>
      <c r="HM290" s="241"/>
      <c r="HN290" s="235"/>
      <c r="HO290" s="235"/>
      <c r="HP290" s="235"/>
      <c r="HQ290" s="235"/>
    </row>
    <row r="291" spans="2:225" hidden="1" outlineLevel="2">
      <c r="B291" s="303" t="s">
        <v>1480</v>
      </c>
      <c r="C291" s="252" t="str">
        <f>IF(OR(E283='3. Dropdowns'!C364,E283='3. Dropdowns'!C365),"Hide","Show")</f>
        <v>Show</v>
      </c>
      <c r="D291" s="236" t="s">
        <v>3361</v>
      </c>
      <c r="E291" s="248"/>
      <c r="F291" s="284" t="str">
        <f>IF(E291='3. Dropdowns'!C369,"","Submittals, Execution")</f>
        <v>Submittals, Execution</v>
      </c>
      <c r="G291" s="230"/>
      <c r="H291" s="238"/>
      <c r="I291" s="239"/>
      <c r="J291" s="240"/>
      <c r="K291" s="240"/>
      <c r="L291" s="240"/>
      <c r="M291" s="240"/>
      <c r="N291" s="240"/>
      <c r="O291" s="240"/>
      <c r="P291" s="240"/>
      <c r="Q291" s="240"/>
      <c r="R291" s="240"/>
      <c r="S291" s="240"/>
      <c r="T291" s="240" t="s">
        <v>890</v>
      </c>
      <c r="U291" s="240"/>
      <c r="V291" s="240"/>
      <c r="W291" s="240"/>
      <c r="X291" s="238"/>
      <c r="Y291" s="240"/>
      <c r="Z291" s="240"/>
      <c r="AA291" s="240"/>
      <c r="AB291" s="240"/>
      <c r="AC291" s="240"/>
      <c r="AD291" s="240"/>
      <c r="AE291" s="240"/>
      <c r="AF291" s="240"/>
      <c r="AG291" s="240"/>
      <c r="AH291" s="238"/>
      <c r="AI291" s="240"/>
      <c r="AJ291" s="240"/>
      <c r="AK291" s="240"/>
      <c r="AL291" s="240"/>
      <c r="AM291" s="238"/>
      <c r="AN291" s="240"/>
      <c r="AO291" s="240"/>
      <c r="AP291" s="240"/>
      <c r="AQ291" s="238"/>
      <c r="AR291" s="240"/>
      <c r="AS291" s="240"/>
      <c r="AT291" s="240"/>
      <c r="AU291" s="240"/>
      <c r="AV291" s="240"/>
      <c r="AW291" s="240"/>
      <c r="AX291" s="240"/>
      <c r="AY291" s="240"/>
      <c r="AZ291" s="238"/>
      <c r="BA291" s="240"/>
      <c r="BB291" s="240"/>
      <c r="BC291" s="240"/>
      <c r="BD291" s="240"/>
      <c r="BE291" s="240"/>
      <c r="BF291" s="240"/>
      <c r="BG291" s="240"/>
      <c r="BH291" s="240"/>
      <c r="BI291" s="240"/>
      <c r="BJ291" s="240"/>
      <c r="BK291" s="240"/>
      <c r="BL291" s="240"/>
      <c r="BM291" s="240"/>
      <c r="BN291" s="240"/>
      <c r="BO291" s="240"/>
      <c r="BP291" s="238"/>
      <c r="BQ291" s="240"/>
      <c r="BR291" s="240"/>
      <c r="BS291" s="240"/>
      <c r="BT291" s="240"/>
      <c r="BU291" s="240"/>
      <c r="BV291" s="240"/>
      <c r="BW291" s="240"/>
      <c r="BX291" s="240"/>
      <c r="BY291" s="240"/>
      <c r="BZ291" s="240"/>
      <c r="CA291" s="240"/>
      <c r="CB291" s="240"/>
      <c r="CC291" s="240"/>
      <c r="CD291" s="240"/>
      <c r="CE291" s="240"/>
      <c r="CF291" s="238"/>
      <c r="CG291" s="240"/>
      <c r="CH291" s="240"/>
      <c r="CI291" s="240"/>
      <c r="CJ291" s="240"/>
      <c r="CK291" s="240"/>
      <c r="CL291" s="240"/>
      <c r="CM291" s="240"/>
      <c r="CN291" s="240"/>
      <c r="CO291" s="240"/>
      <c r="CP291" s="240"/>
      <c r="CQ291" s="240"/>
      <c r="CR291" s="240"/>
      <c r="CS291" s="238"/>
      <c r="CT291" s="240"/>
      <c r="CU291" s="240"/>
      <c r="CV291" s="240"/>
      <c r="CW291" s="240"/>
      <c r="CX291" s="240"/>
      <c r="CY291" s="240"/>
      <c r="CZ291" s="240"/>
      <c r="DA291" s="240"/>
      <c r="DB291" s="240"/>
      <c r="DC291" s="240"/>
      <c r="DD291" s="240"/>
      <c r="DE291" s="240"/>
      <c r="DF291" s="238"/>
      <c r="DG291" s="240"/>
      <c r="DH291" s="240"/>
      <c r="DI291" s="240"/>
      <c r="DJ291" s="240"/>
      <c r="DK291" s="240"/>
      <c r="DL291" s="240"/>
      <c r="DM291" s="240"/>
      <c r="DN291" s="240"/>
      <c r="DO291" s="240"/>
      <c r="DP291" s="240"/>
      <c r="DQ291" s="240"/>
      <c r="DR291" s="238"/>
      <c r="DS291" s="240"/>
      <c r="DT291" s="240"/>
      <c r="DU291" s="240"/>
      <c r="DV291" s="238"/>
      <c r="DW291" s="240"/>
      <c r="DX291" s="240"/>
      <c r="DY291" s="240"/>
      <c r="DZ291" s="240"/>
      <c r="EA291" s="240"/>
      <c r="EB291" s="240"/>
      <c r="EC291" s="240"/>
      <c r="ED291" s="240"/>
      <c r="EE291" s="240"/>
      <c r="EF291" s="238"/>
      <c r="EG291" s="240" t="s">
        <v>890</v>
      </c>
      <c r="EH291" s="240"/>
      <c r="EI291" s="240"/>
      <c r="EJ291" s="238"/>
      <c r="EK291" s="240"/>
      <c r="EL291" s="238"/>
      <c r="EM291" s="240"/>
      <c r="EN291" s="240"/>
      <c r="EO291" s="240"/>
      <c r="EP291" s="240"/>
      <c r="EQ291" s="240"/>
      <c r="ER291" s="240"/>
      <c r="ES291" s="240"/>
      <c r="ET291" s="240"/>
      <c r="EU291" s="240"/>
      <c r="EV291" s="240"/>
      <c r="EW291" s="240"/>
      <c r="EX291" s="238"/>
      <c r="EY291" s="240"/>
      <c r="EZ291" s="240"/>
      <c r="FA291" s="240"/>
      <c r="FB291" s="240"/>
      <c r="FC291" s="240"/>
      <c r="FD291" s="240"/>
      <c r="FE291" s="240"/>
      <c r="FF291" s="240"/>
      <c r="FG291" s="240"/>
      <c r="FH291" s="240"/>
      <c r="FI291" s="240"/>
      <c r="FJ291" s="240"/>
      <c r="FK291" s="240"/>
      <c r="FL291" s="240"/>
      <c r="FM291" s="240"/>
      <c r="FN291" s="240"/>
      <c r="FO291" s="238"/>
      <c r="FP291" s="240"/>
      <c r="FQ291" s="240"/>
      <c r="FR291" s="240"/>
      <c r="FS291" s="240"/>
      <c r="FT291" s="240"/>
      <c r="FU291" s="240"/>
      <c r="FV291" s="240"/>
      <c r="FW291" s="240"/>
      <c r="FX291" s="240"/>
      <c r="FY291" s="240"/>
      <c r="FZ291" s="238"/>
      <c r="GA291" s="240"/>
      <c r="GB291" s="240"/>
      <c r="GC291" s="238"/>
      <c r="GD291" s="240"/>
      <c r="GE291" s="240"/>
      <c r="GF291" s="240"/>
      <c r="GG291" s="240"/>
      <c r="GH291" s="238"/>
      <c r="GI291" s="240"/>
      <c r="GJ291" s="240"/>
      <c r="GK291" s="240"/>
      <c r="GL291" s="240"/>
      <c r="GM291" s="238"/>
      <c r="GN291" s="240"/>
      <c r="GO291" s="240"/>
      <c r="GP291" s="240"/>
      <c r="GQ291" s="240"/>
      <c r="GR291" s="240"/>
      <c r="GS291" s="240"/>
      <c r="GT291" s="240"/>
      <c r="GU291" s="240"/>
      <c r="GV291" s="240"/>
      <c r="GW291" s="240"/>
      <c r="GX291" s="240"/>
      <c r="GY291" s="240"/>
      <c r="GZ291" s="240"/>
      <c r="HA291" s="240"/>
      <c r="HB291" s="240"/>
      <c r="HC291" s="240"/>
      <c r="HD291" s="238"/>
      <c r="HE291" s="240"/>
      <c r="HF291" s="240"/>
      <c r="HG291" s="240"/>
      <c r="HH291" s="240"/>
      <c r="HI291" s="240"/>
      <c r="HJ291" s="238"/>
      <c r="HK291" s="240"/>
      <c r="HL291" s="238"/>
      <c r="HM291" s="241"/>
      <c r="HN291" s="235"/>
      <c r="HO291" s="235"/>
      <c r="HP291" s="235"/>
      <c r="HQ291" s="235"/>
    </row>
    <row r="292" spans="2:225" hidden="1" outlineLevel="2">
      <c r="B292" s="303" t="s">
        <v>1480</v>
      </c>
      <c r="C292" s="252" t="str">
        <f>IF(OR(E283='3. Dropdowns'!C364,E283='3. Dropdowns'!C365),"Hide","Show")</f>
        <v>Show</v>
      </c>
      <c r="D292" s="236" t="s">
        <v>3362</v>
      </c>
      <c r="E292" s="248"/>
      <c r="F292" s="284" t="str">
        <f>IF(E292='3. Dropdowns'!C369,"","Submittals")</f>
        <v>Submittals</v>
      </c>
      <c r="G292" s="230"/>
      <c r="H292" s="238"/>
      <c r="I292" s="239"/>
      <c r="J292" s="240"/>
      <c r="K292" s="240"/>
      <c r="L292" s="240"/>
      <c r="M292" s="240"/>
      <c r="N292" s="240"/>
      <c r="O292" s="240"/>
      <c r="P292" s="240"/>
      <c r="Q292" s="240"/>
      <c r="R292" s="240"/>
      <c r="S292" s="240"/>
      <c r="T292" s="240" t="s">
        <v>890</v>
      </c>
      <c r="U292" s="240"/>
      <c r="V292" s="240"/>
      <c r="W292" s="240"/>
      <c r="X292" s="238"/>
      <c r="Y292" s="240"/>
      <c r="Z292" s="240"/>
      <c r="AA292" s="240"/>
      <c r="AB292" s="240"/>
      <c r="AC292" s="240"/>
      <c r="AD292" s="240"/>
      <c r="AE292" s="240"/>
      <c r="AF292" s="240"/>
      <c r="AG292" s="240"/>
      <c r="AH292" s="238"/>
      <c r="AI292" s="240"/>
      <c r="AJ292" s="240"/>
      <c r="AK292" s="240"/>
      <c r="AL292" s="240"/>
      <c r="AM292" s="238"/>
      <c r="AN292" s="240"/>
      <c r="AO292" s="240"/>
      <c r="AP292" s="240"/>
      <c r="AQ292" s="238"/>
      <c r="AR292" s="240"/>
      <c r="AS292" s="240"/>
      <c r="AT292" s="240"/>
      <c r="AU292" s="240"/>
      <c r="AV292" s="240"/>
      <c r="AW292" s="240"/>
      <c r="AX292" s="240"/>
      <c r="AY292" s="240"/>
      <c r="AZ292" s="238"/>
      <c r="BA292" s="240"/>
      <c r="BB292" s="240"/>
      <c r="BC292" s="240"/>
      <c r="BD292" s="240"/>
      <c r="BE292" s="240"/>
      <c r="BF292" s="240"/>
      <c r="BG292" s="240"/>
      <c r="BH292" s="240"/>
      <c r="BI292" s="240"/>
      <c r="BJ292" s="240"/>
      <c r="BK292" s="240"/>
      <c r="BL292" s="240"/>
      <c r="BM292" s="240"/>
      <c r="BN292" s="240"/>
      <c r="BO292" s="240"/>
      <c r="BP292" s="238"/>
      <c r="BQ292" s="240"/>
      <c r="BR292" s="240"/>
      <c r="BS292" s="240"/>
      <c r="BT292" s="240"/>
      <c r="BU292" s="240"/>
      <c r="BV292" s="240"/>
      <c r="BW292" s="240"/>
      <c r="BX292" s="240"/>
      <c r="BY292" s="240"/>
      <c r="BZ292" s="240"/>
      <c r="CA292" s="240"/>
      <c r="CB292" s="240"/>
      <c r="CC292" s="240"/>
      <c r="CD292" s="240"/>
      <c r="CE292" s="240"/>
      <c r="CF292" s="238"/>
      <c r="CG292" s="240"/>
      <c r="CH292" s="240"/>
      <c r="CI292" s="240"/>
      <c r="CJ292" s="240"/>
      <c r="CK292" s="240"/>
      <c r="CL292" s="240"/>
      <c r="CM292" s="240"/>
      <c r="CN292" s="240"/>
      <c r="CO292" s="240"/>
      <c r="CP292" s="240"/>
      <c r="CQ292" s="240"/>
      <c r="CR292" s="240"/>
      <c r="CS292" s="238"/>
      <c r="CT292" s="240"/>
      <c r="CU292" s="240"/>
      <c r="CV292" s="240"/>
      <c r="CW292" s="240"/>
      <c r="CX292" s="240"/>
      <c r="CY292" s="240"/>
      <c r="CZ292" s="240"/>
      <c r="DA292" s="240"/>
      <c r="DB292" s="240"/>
      <c r="DC292" s="240"/>
      <c r="DD292" s="240"/>
      <c r="DE292" s="240"/>
      <c r="DF292" s="238"/>
      <c r="DG292" s="240"/>
      <c r="DH292" s="240"/>
      <c r="DI292" s="240"/>
      <c r="DJ292" s="240"/>
      <c r="DK292" s="240"/>
      <c r="DL292" s="240"/>
      <c r="DM292" s="240"/>
      <c r="DN292" s="240"/>
      <c r="DO292" s="240"/>
      <c r="DP292" s="240"/>
      <c r="DQ292" s="240"/>
      <c r="DR292" s="238"/>
      <c r="DS292" s="240"/>
      <c r="DT292" s="240"/>
      <c r="DU292" s="240"/>
      <c r="DV292" s="238"/>
      <c r="DW292" s="240"/>
      <c r="DX292" s="240"/>
      <c r="DY292" s="240"/>
      <c r="DZ292" s="240"/>
      <c r="EA292" s="240"/>
      <c r="EB292" s="240"/>
      <c r="EC292" s="240"/>
      <c r="ED292" s="240"/>
      <c r="EE292" s="240"/>
      <c r="EF292" s="238"/>
      <c r="EG292" s="240"/>
      <c r="EH292" s="240"/>
      <c r="EI292" s="240"/>
      <c r="EJ292" s="238"/>
      <c r="EK292" s="240"/>
      <c r="EL292" s="238"/>
      <c r="EM292" s="240"/>
      <c r="EN292" s="240"/>
      <c r="EO292" s="240"/>
      <c r="EP292" s="240"/>
      <c r="EQ292" s="240"/>
      <c r="ER292" s="240"/>
      <c r="ES292" s="240"/>
      <c r="ET292" s="240"/>
      <c r="EU292" s="240"/>
      <c r="EV292" s="240"/>
      <c r="EW292" s="240"/>
      <c r="EX292" s="238"/>
      <c r="EY292" s="240"/>
      <c r="EZ292" s="240"/>
      <c r="FA292" s="240"/>
      <c r="FB292" s="240"/>
      <c r="FC292" s="240"/>
      <c r="FD292" s="240"/>
      <c r="FE292" s="240"/>
      <c r="FF292" s="240"/>
      <c r="FG292" s="240"/>
      <c r="FH292" s="240"/>
      <c r="FI292" s="240"/>
      <c r="FJ292" s="240"/>
      <c r="FK292" s="240"/>
      <c r="FL292" s="240"/>
      <c r="FM292" s="240"/>
      <c r="FN292" s="240"/>
      <c r="FO292" s="238"/>
      <c r="FP292" s="240"/>
      <c r="FQ292" s="240"/>
      <c r="FR292" s="240"/>
      <c r="FS292" s="240"/>
      <c r="FT292" s="240"/>
      <c r="FU292" s="240"/>
      <c r="FV292" s="240"/>
      <c r="FW292" s="240"/>
      <c r="FX292" s="240"/>
      <c r="FY292" s="240"/>
      <c r="FZ292" s="238"/>
      <c r="GA292" s="240"/>
      <c r="GB292" s="240"/>
      <c r="GC292" s="238"/>
      <c r="GD292" s="240"/>
      <c r="GE292" s="240"/>
      <c r="GF292" s="240"/>
      <c r="GG292" s="240"/>
      <c r="GH292" s="238"/>
      <c r="GI292" s="240"/>
      <c r="GJ292" s="240"/>
      <c r="GK292" s="240"/>
      <c r="GL292" s="240"/>
      <c r="GM292" s="238"/>
      <c r="GN292" s="240"/>
      <c r="GO292" s="240"/>
      <c r="GP292" s="240"/>
      <c r="GQ292" s="240"/>
      <c r="GR292" s="240"/>
      <c r="GS292" s="240"/>
      <c r="GT292" s="240"/>
      <c r="GU292" s="240"/>
      <c r="GV292" s="240"/>
      <c r="GW292" s="240"/>
      <c r="GX292" s="240"/>
      <c r="GY292" s="240"/>
      <c r="GZ292" s="240"/>
      <c r="HA292" s="240"/>
      <c r="HB292" s="240"/>
      <c r="HC292" s="240"/>
      <c r="HD292" s="238"/>
      <c r="HE292" s="240"/>
      <c r="HF292" s="240"/>
      <c r="HG292" s="240"/>
      <c r="HH292" s="240"/>
      <c r="HI292" s="240"/>
      <c r="HJ292" s="238"/>
      <c r="HK292" s="240"/>
      <c r="HL292" s="238"/>
      <c r="HM292" s="241"/>
      <c r="HN292" s="235"/>
      <c r="HO292" s="235"/>
      <c r="HP292" s="235"/>
      <c r="HQ292" s="235"/>
    </row>
    <row r="293" spans="2:225" ht="37.5" hidden="1" outlineLevel="1" collapsed="1">
      <c r="B293" s="275"/>
      <c r="C293" s="258" t="s">
        <v>116</v>
      </c>
      <c r="D293" s="236" t="s">
        <v>3363</v>
      </c>
      <c r="E293" s="248"/>
      <c r="F293" s="284" t="str">
        <f>IF(OR(E293='3. Dropdowns'!C370,E293='3. Dropdowns'!C373),"","Submittals, Products, Execution")</f>
        <v>Submittals, Products, Execution</v>
      </c>
      <c r="G293" s="230"/>
      <c r="H293" s="238"/>
      <c r="I293" s="239"/>
      <c r="J293" s="240"/>
      <c r="K293" s="240"/>
      <c r="L293" s="240"/>
      <c r="M293" s="240"/>
      <c r="N293" s="240"/>
      <c r="O293" s="240"/>
      <c r="P293" s="240"/>
      <c r="Q293" s="240"/>
      <c r="R293" s="240"/>
      <c r="S293" s="240"/>
      <c r="T293" s="240" t="s">
        <v>890</v>
      </c>
      <c r="U293" s="240"/>
      <c r="V293" s="240"/>
      <c r="W293" s="240"/>
      <c r="X293" s="238"/>
      <c r="Y293" s="240"/>
      <c r="Z293" s="240"/>
      <c r="AA293" s="240"/>
      <c r="AB293" s="240"/>
      <c r="AC293" s="240"/>
      <c r="AD293" s="240"/>
      <c r="AE293" s="240"/>
      <c r="AF293" s="240"/>
      <c r="AG293" s="240"/>
      <c r="AH293" s="238"/>
      <c r="AI293" s="240"/>
      <c r="AJ293" s="240"/>
      <c r="AK293" s="240"/>
      <c r="AL293" s="240"/>
      <c r="AM293" s="238"/>
      <c r="AN293" s="240"/>
      <c r="AO293" s="240"/>
      <c r="AP293" s="240"/>
      <c r="AQ293" s="238"/>
      <c r="AR293" s="240"/>
      <c r="AS293" s="240"/>
      <c r="AT293" s="240"/>
      <c r="AU293" s="240"/>
      <c r="AV293" s="240"/>
      <c r="AW293" s="240"/>
      <c r="AX293" s="240"/>
      <c r="AY293" s="240"/>
      <c r="AZ293" s="238"/>
      <c r="BA293" s="240"/>
      <c r="BB293" s="240"/>
      <c r="BC293" s="240"/>
      <c r="BD293" s="240"/>
      <c r="BE293" s="240"/>
      <c r="BF293" s="240"/>
      <c r="BG293" s="240"/>
      <c r="BH293" s="240"/>
      <c r="BI293" s="240"/>
      <c r="BJ293" s="240"/>
      <c r="BK293" s="240"/>
      <c r="BL293" s="240"/>
      <c r="BM293" s="240"/>
      <c r="BN293" s="240"/>
      <c r="BO293" s="240"/>
      <c r="BP293" s="238"/>
      <c r="BQ293" s="240"/>
      <c r="BR293" s="240"/>
      <c r="BS293" s="240"/>
      <c r="BT293" s="240"/>
      <c r="BU293" s="240"/>
      <c r="BV293" s="240"/>
      <c r="BW293" s="240"/>
      <c r="BX293" s="240"/>
      <c r="BY293" s="240"/>
      <c r="BZ293" s="240"/>
      <c r="CA293" s="240"/>
      <c r="CB293" s="240"/>
      <c r="CC293" s="240"/>
      <c r="CD293" s="240"/>
      <c r="CE293" s="240"/>
      <c r="CF293" s="238"/>
      <c r="CG293" s="240"/>
      <c r="CH293" s="240"/>
      <c r="CI293" s="240"/>
      <c r="CJ293" s="240"/>
      <c r="CK293" s="240"/>
      <c r="CL293" s="240"/>
      <c r="CM293" s="240"/>
      <c r="CN293" s="240"/>
      <c r="CO293" s="240"/>
      <c r="CP293" s="240"/>
      <c r="CQ293" s="240"/>
      <c r="CR293" s="240"/>
      <c r="CS293" s="238"/>
      <c r="CT293" s="240"/>
      <c r="CU293" s="240"/>
      <c r="CV293" s="240"/>
      <c r="CW293" s="240"/>
      <c r="CX293" s="240" t="s">
        <v>890</v>
      </c>
      <c r="CY293" s="240"/>
      <c r="CZ293" s="240"/>
      <c r="DA293" s="240" t="s">
        <v>890</v>
      </c>
      <c r="DB293" s="240"/>
      <c r="DC293" s="240"/>
      <c r="DD293" s="240"/>
      <c r="DE293" s="240"/>
      <c r="DF293" s="238"/>
      <c r="DG293" s="240" t="s">
        <v>890</v>
      </c>
      <c r="DH293" s="240"/>
      <c r="DI293" s="240"/>
      <c r="DJ293" s="240"/>
      <c r="DK293" s="240"/>
      <c r="DL293" s="240"/>
      <c r="DM293" s="240"/>
      <c r="DN293" s="240"/>
      <c r="DO293" s="240"/>
      <c r="DP293" s="240"/>
      <c r="DQ293" s="240"/>
      <c r="DR293" s="238"/>
      <c r="DS293" s="240"/>
      <c r="DT293" s="240"/>
      <c r="DU293" s="240"/>
      <c r="DV293" s="238"/>
      <c r="DW293" s="240" t="s">
        <v>890</v>
      </c>
      <c r="DX293" s="240"/>
      <c r="DY293" s="240"/>
      <c r="DZ293" s="240"/>
      <c r="EA293" s="240"/>
      <c r="EB293" s="240"/>
      <c r="EC293" s="240"/>
      <c r="ED293" s="240"/>
      <c r="EE293" s="240"/>
      <c r="EF293" s="238"/>
      <c r="EG293" s="240"/>
      <c r="EH293" s="240"/>
      <c r="EI293" s="240"/>
      <c r="EJ293" s="238"/>
      <c r="EK293" s="240"/>
      <c r="EL293" s="238"/>
      <c r="EM293" s="240"/>
      <c r="EN293" s="240"/>
      <c r="EO293" s="240"/>
      <c r="EP293" s="240"/>
      <c r="EQ293" s="240"/>
      <c r="ER293" s="240"/>
      <c r="ES293" s="240"/>
      <c r="ET293" s="240"/>
      <c r="EU293" s="240"/>
      <c r="EV293" s="240"/>
      <c r="EW293" s="240"/>
      <c r="EX293" s="238"/>
      <c r="EY293" s="240"/>
      <c r="EZ293" s="240"/>
      <c r="FA293" s="240"/>
      <c r="FB293" s="240"/>
      <c r="FC293" s="240"/>
      <c r="FD293" s="240"/>
      <c r="FE293" s="240"/>
      <c r="FF293" s="240"/>
      <c r="FG293" s="240"/>
      <c r="FH293" s="240"/>
      <c r="FI293" s="240"/>
      <c r="FJ293" s="240"/>
      <c r="FK293" s="240"/>
      <c r="FL293" s="240"/>
      <c r="FM293" s="240"/>
      <c r="FN293" s="240"/>
      <c r="FO293" s="238"/>
      <c r="FP293" s="240"/>
      <c r="FQ293" s="240"/>
      <c r="FR293" s="240"/>
      <c r="FS293" s="240"/>
      <c r="FT293" s="240"/>
      <c r="FU293" s="240"/>
      <c r="FV293" s="240"/>
      <c r="FW293" s="240"/>
      <c r="FX293" s="240"/>
      <c r="FY293" s="240"/>
      <c r="FZ293" s="238"/>
      <c r="GA293" s="240"/>
      <c r="GB293" s="240"/>
      <c r="GC293" s="238"/>
      <c r="GD293" s="240"/>
      <c r="GE293" s="240"/>
      <c r="GF293" s="240"/>
      <c r="GG293" s="240"/>
      <c r="GH293" s="238"/>
      <c r="GI293" s="240"/>
      <c r="GJ293" s="240"/>
      <c r="GK293" s="240"/>
      <c r="GL293" s="240"/>
      <c r="GM293" s="238"/>
      <c r="GN293" s="240"/>
      <c r="GO293" s="240"/>
      <c r="GP293" s="240"/>
      <c r="GQ293" s="240"/>
      <c r="GR293" s="240"/>
      <c r="GS293" s="240"/>
      <c r="GT293" s="240"/>
      <c r="GU293" s="240"/>
      <c r="GV293" s="240"/>
      <c r="GW293" s="240"/>
      <c r="GX293" s="240"/>
      <c r="GY293" s="240"/>
      <c r="GZ293" s="240"/>
      <c r="HA293" s="240"/>
      <c r="HB293" s="240"/>
      <c r="HC293" s="240"/>
      <c r="HD293" s="238"/>
      <c r="HE293" s="240"/>
      <c r="HF293" s="240"/>
      <c r="HG293" s="240"/>
      <c r="HH293" s="240"/>
      <c r="HI293" s="240"/>
      <c r="HJ293" s="238"/>
      <c r="HK293" s="240"/>
      <c r="HL293" s="238"/>
      <c r="HM293" s="241"/>
      <c r="HN293" s="235"/>
      <c r="HO293" s="235"/>
      <c r="HP293" s="235"/>
      <c r="HQ293" s="235"/>
    </row>
    <row r="294" spans="2:225" hidden="1" outlineLevel="1">
      <c r="B294" s="275"/>
      <c r="C294" s="258" t="s">
        <v>116</v>
      </c>
      <c r="D294" s="236" t="s">
        <v>3364</v>
      </c>
      <c r="E294" s="248"/>
      <c r="F294" s="284" t="str">
        <f>IF(E294='3. Dropdowns'!C378,"",IF(E294='3. Dropdowns'!C382,"Submittals, Execution","Submittals, Products, Execution"))</f>
        <v>Submittals, Products, Execution</v>
      </c>
      <c r="G294" s="230"/>
      <c r="H294" s="238"/>
      <c r="I294" s="239"/>
      <c r="J294" s="240"/>
      <c r="K294" s="240"/>
      <c r="L294" s="240"/>
      <c r="M294" s="240"/>
      <c r="N294" s="240"/>
      <c r="O294" s="240"/>
      <c r="P294" s="240"/>
      <c r="Q294" s="240"/>
      <c r="R294" s="240"/>
      <c r="S294" s="240"/>
      <c r="T294" s="240" t="s">
        <v>890</v>
      </c>
      <c r="U294" s="240"/>
      <c r="V294" s="240"/>
      <c r="W294" s="240"/>
      <c r="X294" s="238"/>
      <c r="Y294" s="240"/>
      <c r="Z294" s="240"/>
      <c r="AA294" s="240"/>
      <c r="AB294" s="240"/>
      <c r="AC294" s="240"/>
      <c r="AD294" s="240"/>
      <c r="AE294" s="240"/>
      <c r="AF294" s="240"/>
      <c r="AG294" s="240"/>
      <c r="AH294" s="238"/>
      <c r="AI294" s="240"/>
      <c r="AJ294" s="240"/>
      <c r="AK294" s="240"/>
      <c r="AL294" s="240"/>
      <c r="AM294" s="238"/>
      <c r="AN294" s="240"/>
      <c r="AO294" s="240"/>
      <c r="AP294" s="240"/>
      <c r="AQ294" s="238"/>
      <c r="AR294" s="240"/>
      <c r="AS294" s="240"/>
      <c r="AT294" s="240"/>
      <c r="AU294" s="240"/>
      <c r="AV294" s="240"/>
      <c r="AW294" s="240"/>
      <c r="AX294" s="240"/>
      <c r="AY294" s="240"/>
      <c r="AZ294" s="238"/>
      <c r="BA294" s="240"/>
      <c r="BB294" s="240"/>
      <c r="BC294" s="240"/>
      <c r="BD294" s="240"/>
      <c r="BE294" s="240"/>
      <c r="BF294" s="240"/>
      <c r="BG294" s="240"/>
      <c r="BH294" s="240"/>
      <c r="BI294" s="240"/>
      <c r="BJ294" s="240"/>
      <c r="BK294" s="240"/>
      <c r="BL294" s="240"/>
      <c r="BM294" s="240"/>
      <c r="BN294" s="240"/>
      <c r="BO294" s="240"/>
      <c r="BP294" s="238"/>
      <c r="BQ294" s="240"/>
      <c r="BR294" s="240"/>
      <c r="BS294" s="240"/>
      <c r="BT294" s="240"/>
      <c r="BU294" s="240"/>
      <c r="BV294" s="240"/>
      <c r="BW294" s="240"/>
      <c r="BX294" s="240"/>
      <c r="BY294" s="240"/>
      <c r="BZ294" s="240"/>
      <c r="CA294" s="240"/>
      <c r="CB294" s="240"/>
      <c r="CC294" s="240"/>
      <c r="CD294" s="240"/>
      <c r="CE294" s="240"/>
      <c r="CF294" s="238"/>
      <c r="CG294" s="240"/>
      <c r="CH294" s="240"/>
      <c r="CI294" s="240"/>
      <c r="CJ294" s="240"/>
      <c r="CK294" s="240"/>
      <c r="CL294" s="240"/>
      <c r="CM294" s="240"/>
      <c r="CN294" s="240"/>
      <c r="CO294" s="240"/>
      <c r="CP294" s="240"/>
      <c r="CQ294" s="240" t="s">
        <v>890</v>
      </c>
      <c r="CR294" s="240"/>
      <c r="CS294" s="238"/>
      <c r="CT294" s="240"/>
      <c r="CU294" s="240"/>
      <c r="CV294" s="240"/>
      <c r="CW294" s="240"/>
      <c r="CX294" s="240" t="s">
        <v>890</v>
      </c>
      <c r="CY294" s="240"/>
      <c r="CZ294" s="240"/>
      <c r="DA294" s="240" t="s">
        <v>890</v>
      </c>
      <c r="DB294" s="240"/>
      <c r="DC294" s="240"/>
      <c r="DD294" s="240"/>
      <c r="DE294" s="240"/>
      <c r="DF294" s="238"/>
      <c r="DG294" s="240" t="s">
        <v>890</v>
      </c>
      <c r="DH294" s="240"/>
      <c r="DI294" s="240"/>
      <c r="DJ294" s="240"/>
      <c r="DK294" s="240"/>
      <c r="DL294" s="240"/>
      <c r="DM294" s="240"/>
      <c r="DN294" s="240"/>
      <c r="DO294" s="240"/>
      <c r="DP294" s="240"/>
      <c r="DQ294" s="240"/>
      <c r="DR294" s="238"/>
      <c r="DS294" s="240"/>
      <c r="DT294" s="240"/>
      <c r="DU294" s="240" t="s">
        <v>890</v>
      </c>
      <c r="DV294" s="238"/>
      <c r="DW294" s="240"/>
      <c r="DX294" s="240"/>
      <c r="DY294" s="240"/>
      <c r="DZ294" s="240"/>
      <c r="EA294" s="240"/>
      <c r="EB294" s="240"/>
      <c r="EC294" s="240"/>
      <c r="ED294" s="240"/>
      <c r="EE294" s="240"/>
      <c r="EF294" s="238"/>
      <c r="EG294" s="240"/>
      <c r="EH294" s="240"/>
      <c r="EI294" s="240"/>
      <c r="EJ294" s="238"/>
      <c r="EK294" s="240"/>
      <c r="EL294" s="238"/>
      <c r="EM294" s="240"/>
      <c r="EN294" s="240"/>
      <c r="EO294" s="240"/>
      <c r="EP294" s="240"/>
      <c r="EQ294" s="240"/>
      <c r="ER294" s="240"/>
      <c r="ES294" s="240"/>
      <c r="ET294" s="240"/>
      <c r="EU294" s="240"/>
      <c r="EV294" s="240"/>
      <c r="EW294" s="240"/>
      <c r="EX294" s="238"/>
      <c r="EY294" s="240"/>
      <c r="EZ294" s="240"/>
      <c r="FA294" s="240"/>
      <c r="FB294" s="240"/>
      <c r="FC294" s="240"/>
      <c r="FD294" s="240"/>
      <c r="FE294" s="240"/>
      <c r="FF294" s="240"/>
      <c r="FG294" s="240"/>
      <c r="FH294" s="240"/>
      <c r="FI294" s="240"/>
      <c r="FJ294" s="240"/>
      <c r="FK294" s="240"/>
      <c r="FL294" s="240"/>
      <c r="FM294" s="240"/>
      <c r="FN294" s="240"/>
      <c r="FO294" s="238"/>
      <c r="FP294" s="240"/>
      <c r="FQ294" s="240"/>
      <c r="FR294" s="240"/>
      <c r="FS294" s="240"/>
      <c r="FT294" s="240"/>
      <c r="FU294" s="240"/>
      <c r="FV294" s="240"/>
      <c r="FW294" s="240"/>
      <c r="FX294" s="240"/>
      <c r="FY294" s="240" t="s">
        <v>890</v>
      </c>
      <c r="FZ294" s="238"/>
      <c r="GA294" s="240"/>
      <c r="GB294" s="240"/>
      <c r="GC294" s="238"/>
      <c r="GD294" s="240"/>
      <c r="GE294" s="240"/>
      <c r="GF294" s="240"/>
      <c r="GG294" s="240"/>
      <c r="GH294" s="238"/>
      <c r="GI294" s="240"/>
      <c r="GJ294" s="240"/>
      <c r="GK294" s="240"/>
      <c r="GL294" s="240"/>
      <c r="GM294" s="238"/>
      <c r="GN294" s="240"/>
      <c r="GO294" s="240"/>
      <c r="GP294" s="240"/>
      <c r="GQ294" s="240"/>
      <c r="GR294" s="240"/>
      <c r="GS294" s="240"/>
      <c r="GT294" s="240"/>
      <c r="GU294" s="240"/>
      <c r="GV294" s="240"/>
      <c r="GW294" s="240"/>
      <c r="GX294" s="240"/>
      <c r="GY294" s="240"/>
      <c r="GZ294" s="240"/>
      <c r="HA294" s="240"/>
      <c r="HB294" s="240"/>
      <c r="HC294" s="240"/>
      <c r="HD294" s="238"/>
      <c r="HE294" s="240"/>
      <c r="HF294" s="240"/>
      <c r="HG294" s="240"/>
      <c r="HH294" s="240"/>
      <c r="HI294" s="240"/>
      <c r="HJ294" s="238"/>
      <c r="HK294" s="240"/>
      <c r="HL294" s="238"/>
      <c r="HM294" s="241"/>
      <c r="HN294" s="235"/>
      <c r="HO294" s="235"/>
      <c r="HP294" s="235"/>
      <c r="HQ294" s="235"/>
    </row>
    <row r="295" spans="2:225" hidden="1" outlineLevel="1">
      <c r="B295" s="275"/>
      <c r="C295" s="258" t="s">
        <v>116</v>
      </c>
      <c r="D295" s="236" t="s">
        <v>3365</v>
      </c>
      <c r="E295" s="237"/>
      <c r="F295" s="237"/>
      <c r="G295" s="230"/>
      <c r="H295" s="242"/>
      <c r="I295" s="239"/>
      <c r="J295" s="240"/>
      <c r="K295" s="240"/>
      <c r="L295" s="240"/>
      <c r="M295" s="240"/>
      <c r="N295" s="240"/>
      <c r="O295" s="240"/>
      <c r="P295" s="240"/>
      <c r="Q295" s="240"/>
      <c r="R295" s="240"/>
      <c r="S295" s="240"/>
      <c r="T295" s="240"/>
      <c r="U295" s="240"/>
      <c r="V295" s="240"/>
      <c r="W295" s="240"/>
      <c r="X295" s="242"/>
      <c r="Y295" s="240"/>
      <c r="Z295" s="240"/>
      <c r="AA295" s="240"/>
      <c r="AB295" s="240"/>
      <c r="AC295" s="240"/>
      <c r="AD295" s="240"/>
      <c r="AE295" s="240"/>
      <c r="AF295" s="240"/>
      <c r="AG295" s="240"/>
      <c r="AH295" s="242"/>
      <c r="AI295" s="240"/>
      <c r="AJ295" s="240"/>
      <c r="AK295" s="240"/>
      <c r="AL295" s="240"/>
      <c r="AM295" s="242"/>
      <c r="AN295" s="240"/>
      <c r="AO295" s="240"/>
      <c r="AP295" s="240"/>
      <c r="AQ295" s="242"/>
      <c r="AR295" s="240"/>
      <c r="AS295" s="240"/>
      <c r="AT295" s="240"/>
      <c r="AU295" s="240"/>
      <c r="AV295" s="240"/>
      <c r="AW295" s="240"/>
      <c r="AX295" s="240"/>
      <c r="AY295" s="240"/>
      <c r="AZ295" s="242"/>
      <c r="BA295" s="240"/>
      <c r="BB295" s="240"/>
      <c r="BC295" s="240"/>
      <c r="BD295" s="240"/>
      <c r="BE295" s="240"/>
      <c r="BF295" s="240"/>
      <c r="BG295" s="240"/>
      <c r="BH295" s="240"/>
      <c r="BI295" s="240"/>
      <c r="BJ295" s="240"/>
      <c r="BK295" s="240"/>
      <c r="BL295" s="240"/>
      <c r="BM295" s="240"/>
      <c r="BN295" s="240"/>
      <c r="BO295" s="240"/>
      <c r="BP295" s="242"/>
      <c r="BQ295" s="240"/>
      <c r="BR295" s="240"/>
      <c r="BS295" s="240"/>
      <c r="BT295" s="240"/>
      <c r="BU295" s="240"/>
      <c r="BV295" s="240"/>
      <c r="BW295" s="240"/>
      <c r="BX295" s="240"/>
      <c r="BY295" s="240"/>
      <c r="BZ295" s="240"/>
      <c r="CA295" s="240"/>
      <c r="CB295" s="240"/>
      <c r="CC295" s="240"/>
      <c r="CD295" s="240"/>
      <c r="CE295" s="240"/>
      <c r="CF295" s="242"/>
      <c r="CG295" s="240"/>
      <c r="CH295" s="240"/>
      <c r="CI295" s="240"/>
      <c r="CJ295" s="240"/>
      <c r="CK295" s="240"/>
      <c r="CL295" s="240"/>
      <c r="CM295" s="240"/>
      <c r="CN295" s="240"/>
      <c r="CO295" s="240"/>
      <c r="CP295" s="240"/>
      <c r="CQ295" s="240"/>
      <c r="CR295" s="240"/>
      <c r="CS295" s="242"/>
      <c r="CT295" s="240"/>
      <c r="CU295" s="240"/>
      <c r="CV295" s="240"/>
      <c r="CW295" s="240"/>
      <c r="CX295" s="240"/>
      <c r="CY295" s="240"/>
      <c r="CZ295" s="240"/>
      <c r="DA295" s="240"/>
      <c r="DB295" s="240"/>
      <c r="DC295" s="240"/>
      <c r="DD295" s="240"/>
      <c r="DE295" s="240"/>
      <c r="DF295" s="242"/>
      <c r="DG295" s="240"/>
      <c r="DH295" s="240"/>
      <c r="DI295" s="240"/>
      <c r="DJ295" s="240"/>
      <c r="DK295" s="240"/>
      <c r="DL295" s="240"/>
      <c r="DM295" s="240"/>
      <c r="DN295" s="240"/>
      <c r="DO295" s="240"/>
      <c r="DP295" s="240"/>
      <c r="DQ295" s="240"/>
      <c r="DR295" s="242"/>
      <c r="DS295" s="240"/>
      <c r="DT295" s="240"/>
      <c r="DU295" s="240"/>
      <c r="DV295" s="242"/>
      <c r="DW295" s="240"/>
      <c r="DX295" s="240"/>
      <c r="DY295" s="240"/>
      <c r="DZ295" s="240"/>
      <c r="EA295" s="240"/>
      <c r="EB295" s="240"/>
      <c r="EC295" s="240"/>
      <c r="ED295" s="240"/>
      <c r="EE295" s="240"/>
      <c r="EF295" s="242"/>
      <c r="EG295" s="240"/>
      <c r="EH295" s="240"/>
      <c r="EI295" s="240"/>
      <c r="EJ295" s="242"/>
      <c r="EK295" s="240"/>
      <c r="EL295" s="242"/>
      <c r="EM295" s="240"/>
      <c r="EN295" s="240"/>
      <c r="EO295" s="240"/>
      <c r="EP295" s="240"/>
      <c r="EQ295" s="240"/>
      <c r="ER295" s="240"/>
      <c r="ES295" s="240"/>
      <c r="ET295" s="240"/>
      <c r="EU295" s="240"/>
      <c r="EV295" s="240"/>
      <c r="EW295" s="240"/>
      <c r="EX295" s="242"/>
      <c r="EY295" s="240"/>
      <c r="EZ295" s="240"/>
      <c r="FA295" s="240"/>
      <c r="FB295" s="240"/>
      <c r="FC295" s="240"/>
      <c r="FD295" s="240"/>
      <c r="FE295" s="240"/>
      <c r="FF295" s="240"/>
      <c r="FG295" s="240"/>
      <c r="FH295" s="240"/>
      <c r="FI295" s="240"/>
      <c r="FJ295" s="240"/>
      <c r="FK295" s="240"/>
      <c r="FL295" s="240"/>
      <c r="FM295" s="240"/>
      <c r="FN295" s="240"/>
      <c r="FO295" s="242"/>
      <c r="FP295" s="240"/>
      <c r="FQ295" s="240"/>
      <c r="FR295" s="240"/>
      <c r="FS295" s="240"/>
      <c r="FT295" s="240"/>
      <c r="FU295" s="240"/>
      <c r="FV295" s="240"/>
      <c r="FW295" s="240"/>
      <c r="FX295" s="240"/>
      <c r="FY295" s="240"/>
      <c r="FZ295" s="242"/>
      <c r="GA295" s="240"/>
      <c r="GB295" s="240"/>
      <c r="GC295" s="242"/>
      <c r="GD295" s="240"/>
      <c r="GE295" s="240"/>
      <c r="GF295" s="240"/>
      <c r="GG295" s="240"/>
      <c r="GH295" s="242"/>
      <c r="GI295" s="240"/>
      <c r="GJ295" s="240"/>
      <c r="GK295" s="240"/>
      <c r="GL295" s="240"/>
      <c r="GM295" s="242"/>
      <c r="GN295" s="240"/>
      <c r="GO295" s="240"/>
      <c r="GP295" s="240"/>
      <c r="GQ295" s="240"/>
      <c r="GR295" s="240"/>
      <c r="GS295" s="240"/>
      <c r="GT295" s="240"/>
      <c r="GU295" s="240"/>
      <c r="GV295" s="240"/>
      <c r="GW295" s="240"/>
      <c r="GX295" s="240"/>
      <c r="GY295" s="240"/>
      <c r="GZ295" s="240"/>
      <c r="HA295" s="240"/>
      <c r="HB295" s="240"/>
      <c r="HC295" s="240"/>
      <c r="HD295" s="242"/>
      <c r="HE295" s="240"/>
      <c r="HF295" s="240"/>
      <c r="HG295" s="240"/>
      <c r="HH295" s="240"/>
      <c r="HI295" s="240"/>
      <c r="HJ295" s="242"/>
      <c r="HK295" s="240"/>
      <c r="HL295" s="242"/>
      <c r="HM295" s="241"/>
      <c r="HN295" s="235"/>
      <c r="HO295" s="235"/>
      <c r="HP295" s="235"/>
      <c r="HQ295" s="235"/>
    </row>
    <row r="296" spans="2:225" collapsed="1">
      <c r="B296" s="303" t="s">
        <v>1538</v>
      </c>
      <c r="C296" s="258" t="str">
        <f>IF(D7='3. Dropdowns'!C17,"Hide","Show")</f>
        <v>Show</v>
      </c>
      <c r="D296" s="220" t="s">
        <v>115</v>
      </c>
      <c r="E296" s="221"/>
      <c r="F296" s="286"/>
      <c r="G296" s="222"/>
      <c r="H296" s="316"/>
      <c r="I296" s="224"/>
      <c r="J296" s="224"/>
      <c r="K296" s="224"/>
      <c r="L296" s="224"/>
      <c r="M296" s="224"/>
      <c r="N296" s="224"/>
      <c r="O296" s="224"/>
      <c r="P296" s="224"/>
      <c r="Q296" s="224"/>
      <c r="R296" s="224"/>
      <c r="S296" s="224"/>
      <c r="T296" s="224"/>
      <c r="U296" s="224"/>
      <c r="V296" s="224"/>
      <c r="W296" s="224"/>
      <c r="X296" s="224"/>
      <c r="Y296" s="224"/>
      <c r="Z296" s="224"/>
      <c r="AA296" s="224"/>
      <c r="AB296" s="224"/>
      <c r="AC296" s="224"/>
      <c r="AD296" s="224"/>
      <c r="AE296" s="224"/>
      <c r="AF296" s="224"/>
      <c r="AG296" s="224"/>
      <c r="AH296" s="224"/>
      <c r="AI296" s="224"/>
      <c r="AJ296" s="224"/>
      <c r="AK296" s="224"/>
      <c r="AL296" s="224"/>
      <c r="AM296" s="224"/>
      <c r="AN296" s="224"/>
      <c r="AO296" s="224"/>
      <c r="AP296" s="224"/>
      <c r="AQ296" s="224"/>
      <c r="AR296" s="224"/>
      <c r="AS296" s="224"/>
      <c r="AT296" s="224"/>
      <c r="AU296" s="224"/>
      <c r="AV296" s="224"/>
      <c r="AW296" s="224"/>
      <c r="AX296" s="224"/>
      <c r="AY296" s="224"/>
      <c r="AZ296" s="224"/>
      <c r="BA296" s="224"/>
      <c r="BB296" s="224"/>
      <c r="BC296" s="224"/>
      <c r="BD296" s="224"/>
      <c r="BE296" s="224"/>
      <c r="BF296" s="224"/>
      <c r="BG296" s="224"/>
      <c r="BH296" s="224"/>
      <c r="BI296" s="224"/>
      <c r="BJ296" s="224"/>
      <c r="BK296" s="224"/>
      <c r="BL296" s="224"/>
      <c r="BM296" s="224"/>
      <c r="BN296" s="224"/>
      <c r="BO296" s="224"/>
      <c r="BP296" s="224"/>
      <c r="BQ296" s="224"/>
      <c r="BR296" s="224"/>
      <c r="BS296" s="224"/>
      <c r="BT296" s="224"/>
      <c r="BU296" s="224"/>
      <c r="BV296" s="224"/>
      <c r="BW296" s="224"/>
      <c r="BX296" s="224"/>
      <c r="BY296" s="224"/>
      <c r="BZ296" s="224"/>
      <c r="CA296" s="224"/>
      <c r="CB296" s="224"/>
      <c r="CC296" s="224"/>
      <c r="CD296" s="224"/>
      <c r="CE296" s="224"/>
      <c r="CF296" s="224"/>
      <c r="CG296" s="224"/>
      <c r="CH296" s="224"/>
      <c r="CI296" s="224"/>
      <c r="CJ296" s="224"/>
      <c r="CK296" s="224"/>
      <c r="CL296" s="224"/>
      <c r="CM296" s="224"/>
      <c r="CN296" s="224"/>
      <c r="CO296" s="224"/>
      <c r="CP296" s="224"/>
      <c r="CQ296" s="224"/>
      <c r="CR296" s="224"/>
      <c r="CS296" s="224"/>
      <c r="CT296" s="224"/>
      <c r="CU296" s="224"/>
      <c r="CV296" s="224"/>
      <c r="CW296" s="224"/>
      <c r="CX296" s="224"/>
      <c r="CY296" s="224"/>
      <c r="CZ296" s="224"/>
      <c r="DA296" s="224"/>
      <c r="DB296" s="224"/>
      <c r="DC296" s="224"/>
      <c r="DD296" s="224"/>
      <c r="DE296" s="224"/>
      <c r="DF296" s="224"/>
      <c r="DG296" s="224"/>
      <c r="DH296" s="224"/>
      <c r="DI296" s="224"/>
      <c r="DJ296" s="224"/>
      <c r="DK296" s="224"/>
      <c r="DL296" s="224"/>
      <c r="DM296" s="224"/>
      <c r="DN296" s="224"/>
      <c r="DO296" s="224"/>
      <c r="DP296" s="224"/>
      <c r="DQ296" s="224"/>
      <c r="DR296" s="224"/>
      <c r="DS296" s="224"/>
      <c r="DT296" s="224"/>
      <c r="DU296" s="224"/>
      <c r="DV296" s="224"/>
      <c r="DW296" s="224"/>
      <c r="DX296" s="224"/>
      <c r="DY296" s="224"/>
      <c r="DZ296" s="224"/>
      <c r="EA296" s="224"/>
      <c r="EB296" s="224"/>
      <c r="EC296" s="224"/>
      <c r="ED296" s="224"/>
      <c r="EE296" s="224"/>
      <c r="EF296" s="224"/>
      <c r="EG296" s="224"/>
      <c r="EH296" s="224"/>
      <c r="EI296" s="224"/>
      <c r="EJ296" s="224"/>
      <c r="EK296" s="224"/>
      <c r="EL296" s="224"/>
      <c r="EM296" s="224"/>
      <c r="EN296" s="224"/>
      <c r="EO296" s="224"/>
      <c r="EP296" s="224"/>
      <c r="EQ296" s="224"/>
      <c r="ER296" s="224"/>
      <c r="ES296" s="224"/>
      <c r="ET296" s="224"/>
      <c r="EU296" s="224"/>
      <c r="EV296" s="224"/>
      <c r="EW296" s="224"/>
      <c r="EX296" s="224"/>
      <c r="EY296" s="224"/>
      <c r="EZ296" s="224"/>
      <c r="FA296" s="224"/>
      <c r="FB296" s="224"/>
      <c r="FC296" s="224"/>
      <c r="FD296" s="224"/>
      <c r="FE296" s="224"/>
      <c r="FF296" s="224"/>
      <c r="FG296" s="224"/>
      <c r="FH296" s="224"/>
      <c r="FI296" s="224"/>
      <c r="FJ296" s="224"/>
      <c r="FK296" s="224"/>
      <c r="FL296" s="224"/>
      <c r="FM296" s="224"/>
      <c r="FN296" s="224"/>
      <c r="FO296" s="224"/>
      <c r="FP296" s="224"/>
      <c r="FQ296" s="224"/>
      <c r="FR296" s="224"/>
      <c r="FS296" s="224"/>
      <c r="FT296" s="224"/>
      <c r="FU296" s="224"/>
      <c r="FV296" s="224"/>
      <c r="FW296" s="224"/>
      <c r="FX296" s="224"/>
      <c r="FY296" s="224"/>
      <c r="FZ296" s="224"/>
      <c r="GA296" s="224"/>
      <c r="GB296" s="224"/>
      <c r="GC296" s="224"/>
      <c r="GD296" s="224"/>
      <c r="GE296" s="224"/>
      <c r="GF296" s="224"/>
      <c r="GG296" s="224"/>
      <c r="GH296" s="224"/>
      <c r="GI296" s="224"/>
      <c r="GJ296" s="224"/>
      <c r="GK296" s="224"/>
      <c r="GL296" s="224"/>
      <c r="GM296" s="224"/>
      <c r="GN296" s="224"/>
      <c r="GO296" s="224"/>
      <c r="GP296" s="224"/>
      <c r="GQ296" s="224"/>
      <c r="GR296" s="224"/>
      <c r="GS296" s="224"/>
      <c r="GT296" s="224"/>
      <c r="GU296" s="224"/>
      <c r="GV296" s="224"/>
      <c r="GW296" s="224"/>
      <c r="GX296" s="224"/>
      <c r="GY296" s="224"/>
      <c r="GZ296" s="224"/>
      <c r="HA296" s="224"/>
      <c r="HB296" s="224"/>
      <c r="HC296" s="224"/>
      <c r="HD296" s="224"/>
      <c r="HE296" s="224"/>
      <c r="HF296" s="224"/>
      <c r="HG296" s="224"/>
      <c r="HH296" s="224"/>
      <c r="HI296" s="224"/>
      <c r="HJ296" s="224"/>
      <c r="HK296" s="224"/>
      <c r="HL296" s="224"/>
      <c r="HM296" s="265"/>
      <c r="HN296" s="235"/>
      <c r="HO296" s="235"/>
      <c r="HP296" s="235"/>
      <c r="HQ296" s="235"/>
    </row>
    <row r="297" spans="2:225" ht="37.5" hidden="1" outlineLevel="1">
      <c r="B297" s="317" t="s">
        <v>1538</v>
      </c>
      <c r="C297" s="318" t="str">
        <f>IF(D7='3. Dropdowns'!C17,"Hide","Show")</f>
        <v>Show</v>
      </c>
      <c r="D297" s="236" t="s">
        <v>3366</v>
      </c>
      <c r="E297" s="237"/>
      <c r="F297" s="284" t="s">
        <v>131</v>
      </c>
      <c r="G297" s="230"/>
      <c r="H297" s="231"/>
      <c r="I297" s="239"/>
      <c r="J297" s="240"/>
      <c r="K297" s="240"/>
      <c r="L297" s="240"/>
      <c r="M297" s="240"/>
      <c r="N297" s="240"/>
      <c r="O297" s="240"/>
      <c r="P297" s="240"/>
      <c r="Q297" s="240" t="s">
        <v>890</v>
      </c>
      <c r="R297" s="240"/>
      <c r="S297" s="240"/>
      <c r="T297" s="240" t="s">
        <v>890</v>
      </c>
      <c r="U297" s="240"/>
      <c r="V297" s="240" t="s">
        <v>890</v>
      </c>
      <c r="W297" s="240" t="s">
        <v>890</v>
      </c>
      <c r="X297" s="231"/>
      <c r="Y297" s="240"/>
      <c r="Z297" s="240"/>
      <c r="AA297" s="240"/>
      <c r="AB297" s="240"/>
      <c r="AC297" s="240"/>
      <c r="AD297" s="240"/>
      <c r="AE297" s="240"/>
      <c r="AF297" s="240"/>
      <c r="AG297" s="240"/>
      <c r="AH297" s="231"/>
      <c r="AI297" s="240"/>
      <c r="AJ297" s="240"/>
      <c r="AK297" s="240"/>
      <c r="AL297" s="240"/>
      <c r="AM297" s="231"/>
      <c r="AN297" s="240"/>
      <c r="AO297" s="240"/>
      <c r="AP297" s="240"/>
      <c r="AQ297" s="231"/>
      <c r="AR297" s="240"/>
      <c r="AS297" s="240"/>
      <c r="AT297" s="240"/>
      <c r="AU297" s="240"/>
      <c r="AV297" s="240"/>
      <c r="AW297" s="240"/>
      <c r="AX297" s="240"/>
      <c r="AY297" s="240"/>
      <c r="AZ297" s="231"/>
      <c r="BA297" s="240"/>
      <c r="BB297" s="240"/>
      <c r="BC297" s="240"/>
      <c r="BD297" s="240"/>
      <c r="BE297" s="240"/>
      <c r="BF297" s="240"/>
      <c r="BG297" s="240"/>
      <c r="BH297" s="240"/>
      <c r="BI297" s="240"/>
      <c r="BJ297" s="240"/>
      <c r="BK297" s="240"/>
      <c r="BL297" s="240"/>
      <c r="BM297" s="240"/>
      <c r="BN297" s="240"/>
      <c r="BO297" s="240"/>
      <c r="BP297" s="231"/>
      <c r="BQ297" s="240"/>
      <c r="BR297" s="240"/>
      <c r="BS297" s="240"/>
      <c r="BT297" s="240"/>
      <c r="BU297" s="240"/>
      <c r="BV297" s="240"/>
      <c r="BW297" s="240"/>
      <c r="BX297" s="240"/>
      <c r="BY297" s="240"/>
      <c r="BZ297" s="240"/>
      <c r="CA297" s="240"/>
      <c r="CB297" s="240"/>
      <c r="CC297" s="240"/>
      <c r="CD297" s="240"/>
      <c r="CE297" s="240"/>
      <c r="CF297" s="231"/>
      <c r="CG297" s="240"/>
      <c r="CH297" s="240"/>
      <c r="CI297" s="240"/>
      <c r="CJ297" s="240"/>
      <c r="CK297" s="240"/>
      <c r="CL297" s="240"/>
      <c r="CM297" s="240"/>
      <c r="CN297" s="240"/>
      <c r="CO297" s="240"/>
      <c r="CP297" s="240"/>
      <c r="CQ297" s="240"/>
      <c r="CR297" s="240"/>
      <c r="CS297" s="231"/>
      <c r="CT297" s="240"/>
      <c r="CU297" s="240"/>
      <c r="CV297" s="240"/>
      <c r="CW297" s="240"/>
      <c r="CX297" s="240"/>
      <c r="CY297" s="240"/>
      <c r="CZ297" s="240"/>
      <c r="DA297" s="240"/>
      <c r="DB297" s="240"/>
      <c r="DC297" s="240"/>
      <c r="DD297" s="240"/>
      <c r="DE297" s="240"/>
      <c r="DF297" s="231"/>
      <c r="DG297" s="240"/>
      <c r="DH297" s="240"/>
      <c r="DI297" s="240"/>
      <c r="DJ297" s="240"/>
      <c r="DK297" s="240"/>
      <c r="DL297" s="240"/>
      <c r="DM297" s="240"/>
      <c r="DN297" s="240"/>
      <c r="DO297" s="240"/>
      <c r="DP297" s="240"/>
      <c r="DQ297" s="240"/>
      <c r="DR297" s="231"/>
      <c r="DS297" s="240"/>
      <c r="DT297" s="240"/>
      <c r="DU297" s="240"/>
      <c r="DV297" s="231"/>
      <c r="DW297" s="240"/>
      <c r="DX297" s="240"/>
      <c r="DY297" s="240"/>
      <c r="DZ297" s="240"/>
      <c r="EA297" s="240"/>
      <c r="EB297" s="240"/>
      <c r="EC297" s="240"/>
      <c r="ED297" s="240"/>
      <c r="EE297" s="240"/>
      <c r="EF297" s="231"/>
      <c r="EG297" s="240"/>
      <c r="EH297" s="240"/>
      <c r="EI297" s="240"/>
      <c r="EJ297" s="231"/>
      <c r="EK297" s="240"/>
      <c r="EL297" s="231"/>
      <c r="EM297" s="240" t="s">
        <v>890</v>
      </c>
      <c r="EN297" s="240"/>
      <c r="EO297" s="240"/>
      <c r="EP297" s="240"/>
      <c r="EQ297" s="240"/>
      <c r="ER297" s="240"/>
      <c r="ES297" s="240"/>
      <c r="ET297" s="240"/>
      <c r="EU297" s="240"/>
      <c r="EV297" s="240"/>
      <c r="EW297" s="240"/>
      <c r="EX297" s="231"/>
      <c r="EY297" s="240" t="s">
        <v>890</v>
      </c>
      <c r="EZ297" s="240"/>
      <c r="FA297" s="240"/>
      <c r="FB297" s="240"/>
      <c r="FC297" s="240"/>
      <c r="FD297" s="240"/>
      <c r="FE297" s="240"/>
      <c r="FF297" s="240"/>
      <c r="FG297" s="240"/>
      <c r="FH297" s="240"/>
      <c r="FI297" s="240"/>
      <c r="FJ297" s="240"/>
      <c r="FK297" s="240"/>
      <c r="FL297" s="240"/>
      <c r="FM297" s="240"/>
      <c r="FN297" s="240"/>
      <c r="FO297" s="231"/>
      <c r="FP297" s="240" t="s">
        <v>890</v>
      </c>
      <c r="FQ297" s="240"/>
      <c r="FR297" s="240"/>
      <c r="FS297" s="240"/>
      <c r="FT297" s="240"/>
      <c r="FU297" s="240"/>
      <c r="FV297" s="240"/>
      <c r="FW297" s="240"/>
      <c r="FX297" s="240"/>
      <c r="FY297" s="240"/>
      <c r="FZ297" s="231"/>
      <c r="GA297" s="240"/>
      <c r="GB297" s="240"/>
      <c r="GC297" s="231"/>
      <c r="GD297" s="240"/>
      <c r="GE297" s="240"/>
      <c r="GF297" s="240"/>
      <c r="GG297" s="240"/>
      <c r="GH297" s="231"/>
      <c r="GI297" s="240"/>
      <c r="GJ297" s="240"/>
      <c r="GK297" s="240"/>
      <c r="GL297" s="240"/>
      <c r="GM297" s="231"/>
      <c r="GN297" s="240"/>
      <c r="GO297" s="240"/>
      <c r="GP297" s="240"/>
      <c r="GQ297" s="240"/>
      <c r="GR297" s="240"/>
      <c r="GS297" s="240"/>
      <c r="GT297" s="240"/>
      <c r="GU297" s="240"/>
      <c r="GV297" s="240"/>
      <c r="GW297" s="240"/>
      <c r="GX297" s="240"/>
      <c r="GY297" s="240"/>
      <c r="GZ297" s="240"/>
      <c r="HA297" s="240"/>
      <c r="HB297" s="240"/>
      <c r="HC297" s="240"/>
      <c r="HD297" s="231"/>
      <c r="HE297" s="240"/>
      <c r="HF297" s="240"/>
      <c r="HG297" s="240"/>
      <c r="HH297" s="240"/>
      <c r="HI297" s="240"/>
      <c r="HJ297" s="231"/>
      <c r="HK297" s="240"/>
      <c r="HL297" s="231"/>
      <c r="HM297" s="241"/>
      <c r="HN297" s="235"/>
      <c r="HO297" s="235"/>
      <c r="HP297" s="235"/>
      <c r="HQ297" s="235"/>
    </row>
    <row r="298" spans="2:225" hidden="1" outlineLevel="1">
      <c r="B298" s="317" t="s">
        <v>1538</v>
      </c>
      <c r="C298" s="318" t="str">
        <f>IF(D7='3. Dropdowns'!C17,"Hide","Show")</f>
        <v>Show</v>
      </c>
      <c r="D298" s="236" t="s">
        <v>3367</v>
      </c>
      <c r="E298" s="237"/>
      <c r="F298" s="284" t="s">
        <v>131</v>
      </c>
      <c r="G298" s="230"/>
      <c r="H298" s="238"/>
      <c r="I298" s="239"/>
      <c r="J298" s="240"/>
      <c r="K298" s="240"/>
      <c r="L298" s="240"/>
      <c r="M298" s="240"/>
      <c r="N298" s="240"/>
      <c r="O298" s="240"/>
      <c r="P298" s="240"/>
      <c r="Q298" s="240" t="s">
        <v>890</v>
      </c>
      <c r="R298" s="240"/>
      <c r="S298" s="240"/>
      <c r="T298" s="240" t="s">
        <v>890</v>
      </c>
      <c r="U298" s="240"/>
      <c r="V298" s="240"/>
      <c r="W298" s="240"/>
      <c r="X298" s="238"/>
      <c r="Y298" s="240"/>
      <c r="Z298" s="240"/>
      <c r="AA298" s="240"/>
      <c r="AB298" s="240"/>
      <c r="AC298" s="240"/>
      <c r="AD298" s="240"/>
      <c r="AE298" s="240"/>
      <c r="AF298" s="240"/>
      <c r="AG298" s="240"/>
      <c r="AH298" s="238"/>
      <c r="AI298" s="240"/>
      <c r="AJ298" s="240"/>
      <c r="AK298" s="240"/>
      <c r="AL298" s="240"/>
      <c r="AM298" s="238"/>
      <c r="AN298" s="240"/>
      <c r="AO298" s="240"/>
      <c r="AP298" s="240"/>
      <c r="AQ298" s="238"/>
      <c r="AR298" s="240"/>
      <c r="AS298" s="240"/>
      <c r="AT298" s="240"/>
      <c r="AU298" s="240"/>
      <c r="AV298" s="240"/>
      <c r="AW298" s="240"/>
      <c r="AX298" s="240"/>
      <c r="AY298" s="240"/>
      <c r="AZ298" s="238"/>
      <c r="BA298" s="240"/>
      <c r="BB298" s="240"/>
      <c r="BC298" s="240"/>
      <c r="BD298" s="240"/>
      <c r="BE298" s="240"/>
      <c r="BF298" s="240"/>
      <c r="BG298" s="240"/>
      <c r="BH298" s="240"/>
      <c r="BI298" s="240"/>
      <c r="BJ298" s="240"/>
      <c r="BK298" s="240"/>
      <c r="BL298" s="240"/>
      <c r="BM298" s="240"/>
      <c r="BN298" s="240"/>
      <c r="BO298" s="240"/>
      <c r="BP298" s="238"/>
      <c r="BQ298" s="240"/>
      <c r="BR298" s="240"/>
      <c r="BS298" s="240"/>
      <c r="BT298" s="240"/>
      <c r="BU298" s="240"/>
      <c r="BV298" s="240"/>
      <c r="BW298" s="240"/>
      <c r="BX298" s="240"/>
      <c r="BY298" s="240"/>
      <c r="BZ298" s="240"/>
      <c r="CA298" s="240"/>
      <c r="CB298" s="240"/>
      <c r="CC298" s="240"/>
      <c r="CD298" s="240"/>
      <c r="CE298" s="240"/>
      <c r="CF298" s="238"/>
      <c r="CG298" s="240"/>
      <c r="CH298" s="240"/>
      <c r="CI298" s="240"/>
      <c r="CJ298" s="240"/>
      <c r="CK298" s="240"/>
      <c r="CL298" s="240"/>
      <c r="CM298" s="240"/>
      <c r="CN298" s="240"/>
      <c r="CO298" s="240"/>
      <c r="CP298" s="240"/>
      <c r="CQ298" s="240"/>
      <c r="CR298" s="240"/>
      <c r="CS298" s="238"/>
      <c r="CT298" s="240"/>
      <c r="CU298" s="240"/>
      <c r="CV298" s="240"/>
      <c r="CW298" s="240"/>
      <c r="CX298" s="240"/>
      <c r="CY298" s="240"/>
      <c r="CZ298" s="240"/>
      <c r="DA298" s="240"/>
      <c r="DB298" s="240"/>
      <c r="DC298" s="240"/>
      <c r="DD298" s="240"/>
      <c r="DE298" s="240"/>
      <c r="DF298" s="238"/>
      <c r="DG298" s="240"/>
      <c r="DH298" s="240"/>
      <c r="DI298" s="240"/>
      <c r="DJ298" s="240"/>
      <c r="DK298" s="240"/>
      <c r="DL298" s="240"/>
      <c r="DM298" s="240"/>
      <c r="DN298" s="240"/>
      <c r="DO298" s="240"/>
      <c r="DP298" s="240"/>
      <c r="DQ298" s="240"/>
      <c r="DR298" s="238"/>
      <c r="DS298" s="240"/>
      <c r="DT298" s="240"/>
      <c r="DU298" s="240"/>
      <c r="DV298" s="238"/>
      <c r="DW298" s="240"/>
      <c r="DX298" s="240"/>
      <c r="DY298" s="240"/>
      <c r="DZ298" s="240"/>
      <c r="EA298" s="240"/>
      <c r="EB298" s="240"/>
      <c r="EC298" s="240"/>
      <c r="ED298" s="240"/>
      <c r="EE298" s="240"/>
      <c r="EF298" s="238"/>
      <c r="EG298" s="240"/>
      <c r="EH298" s="240"/>
      <c r="EI298" s="240"/>
      <c r="EJ298" s="238"/>
      <c r="EK298" s="240"/>
      <c r="EL298" s="238"/>
      <c r="EM298" s="240"/>
      <c r="EN298" s="240"/>
      <c r="EO298" s="240"/>
      <c r="EP298" s="240"/>
      <c r="EQ298" s="240"/>
      <c r="ER298" s="240"/>
      <c r="ES298" s="240"/>
      <c r="ET298" s="240"/>
      <c r="EU298" s="240"/>
      <c r="EV298" s="240"/>
      <c r="EW298" s="240"/>
      <c r="EX298" s="238"/>
      <c r="EY298" s="240"/>
      <c r="EZ298" s="240"/>
      <c r="FA298" s="240"/>
      <c r="FB298" s="240"/>
      <c r="FC298" s="240"/>
      <c r="FD298" s="240"/>
      <c r="FE298" s="240"/>
      <c r="FF298" s="240"/>
      <c r="FG298" s="240"/>
      <c r="FH298" s="240"/>
      <c r="FI298" s="240"/>
      <c r="FJ298" s="240"/>
      <c r="FK298" s="240"/>
      <c r="FL298" s="240"/>
      <c r="FM298" s="240"/>
      <c r="FN298" s="240"/>
      <c r="FO298" s="238"/>
      <c r="FP298" s="240"/>
      <c r="FQ298" s="240"/>
      <c r="FR298" s="240"/>
      <c r="FS298" s="240"/>
      <c r="FT298" s="240"/>
      <c r="FU298" s="240"/>
      <c r="FV298" s="240"/>
      <c r="FW298" s="240"/>
      <c r="FX298" s="240"/>
      <c r="FY298" s="240"/>
      <c r="FZ298" s="238"/>
      <c r="GA298" s="240"/>
      <c r="GB298" s="240"/>
      <c r="GC298" s="238"/>
      <c r="GD298" s="240"/>
      <c r="GE298" s="240"/>
      <c r="GF298" s="240"/>
      <c r="GG298" s="240"/>
      <c r="GH298" s="238"/>
      <c r="GI298" s="240"/>
      <c r="GJ298" s="240"/>
      <c r="GK298" s="240"/>
      <c r="GL298" s="240"/>
      <c r="GM298" s="238"/>
      <c r="GN298" s="240"/>
      <c r="GO298" s="240"/>
      <c r="GP298" s="240"/>
      <c r="GQ298" s="240"/>
      <c r="GR298" s="240"/>
      <c r="GS298" s="240"/>
      <c r="GT298" s="240"/>
      <c r="GU298" s="240"/>
      <c r="GV298" s="240"/>
      <c r="GW298" s="240"/>
      <c r="GX298" s="240"/>
      <c r="GY298" s="240"/>
      <c r="GZ298" s="240"/>
      <c r="HA298" s="240"/>
      <c r="HB298" s="240"/>
      <c r="HC298" s="240"/>
      <c r="HD298" s="238"/>
      <c r="HE298" s="240"/>
      <c r="HF298" s="240"/>
      <c r="HG298" s="240"/>
      <c r="HH298" s="240"/>
      <c r="HI298" s="240"/>
      <c r="HJ298" s="238"/>
      <c r="HK298" s="240"/>
      <c r="HL298" s="238"/>
      <c r="HM298" s="241"/>
      <c r="HN298" s="235"/>
      <c r="HO298" s="235"/>
      <c r="HP298" s="235"/>
      <c r="HQ298" s="235"/>
    </row>
    <row r="299" spans="2:225" hidden="1" outlineLevel="1">
      <c r="B299" s="317" t="s">
        <v>1538</v>
      </c>
      <c r="C299" s="318" t="str">
        <f>IF(D7='3. Dropdowns'!C17,"Hide","Show")</f>
        <v>Show</v>
      </c>
      <c r="D299" s="236" t="s">
        <v>3368</v>
      </c>
      <c r="E299" s="237"/>
      <c r="F299" s="237"/>
      <c r="G299" s="230"/>
      <c r="H299" s="238"/>
      <c r="I299" s="239"/>
      <c r="J299" s="240"/>
      <c r="K299" s="240"/>
      <c r="L299" s="240"/>
      <c r="M299" s="240"/>
      <c r="N299" s="240"/>
      <c r="O299" s="240"/>
      <c r="P299" s="240"/>
      <c r="Q299" s="240"/>
      <c r="R299" s="240"/>
      <c r="S299" s="240"/>
      <c r="T299" s="240"/>
      <c r="U299" s="240"/>
      <c r="V299" s="240"/>
      <c r="W299" s="240"/>
      <c r="X299" s="238"/>
      <c r="Y299" s="240"/>
      <c r="Z299" s="240"/>
      <c r="AA299" s="240"/>
      <c r="AB299" s="240"/>
      <c r="AC299" s="240"/>
      <c r="AD299" s="240"/>
      <c r="AE299" s="240"/>
      <c r="AF299" s="240"/>
      <c r="AG299" s="240"/>
      <c r="AH299" s="238"/>
      <c r="AI299" s="240"/>
      <c r="AJ299" s="240"/>
      <c r="AK299" s="240"/>
      <c r="AL299" s="240"/>
      <c r="AM299" s="238"/>
      <c r="AN299" s="240"/>
      <c r="AO299" s="240"/>
      <c r="AP299" s="240"/>
      <c r="AQ299" s="238"/>
      <c r="AR299" s="240"/>
      <c r="AS299" s="240"/>
      <c r="AT299" s="240"/>
      <c r="AU299" s="240"/>
      <c r="AV299" s="240"/>
      <c r="AW299" s="240"/>
      <c r="AX299" s="240"/>
      <c r="AY299" s="240"/>
      <c r="AZ299" s="238"/>
      <c r="BA299" s="240"/>
      <c r="BB299" s="240"/>
      <c r="BC299" s="240"/>
      <c r="BD299" s="240"/>
      <c r="BE299" s="240"/>
      <c r="BF299" s="240"/>
      <c r="BG299" s="240"/>
      <c r="BH299" s="240"/>
      <c r="BI299" s="240"/>
      <c r="BJ299" s="240"/>
      <c r="BK299" s="240"/>
      <c r="BL299" s="240"/>
      <c r="BM299" s="240"/>
      <c r="BN299" s="240"/>
      <c r="BO299" s="240"/>
      <c r="BP299" s="238"/>
      <c r="BQ299" s="240"/>
      <c r="BR299" s="240"/>
      <c r="BS299" s="240"/>
      <c r="BT299" s="240"/>
      <c r="BU299" s="240"/>
      <c r="BV299" s="240"/>
      <c r="BW299" s="240"/>
      <c r="BX299" s="240"/>
      <c r="BY299" s="240"/>
      <c r="BZ299" s="240"/>
      <c r="CA299" s="240"/>
      <c r="CB299" s="240"/>
      <c r="CC299" s="240"/>
      <c r="CD299" s="240"/>
      <c r="CE299" s="240"/>
      <c r="CF299" s="238"/>
      <c r="CG299" s="240"/>
      <c r="CH299" s="240"/>
      <c r="CI299" s="240"/>
      <c r="CJ299" s="240"/>
      <c r="CK299" s="240"/>
      <c r="CL299" s="240"/>
      <c r="CM299" s="240"/>
      <c r="CN299" s="240"/>
      <c r="CO299" s="240"/>
      <c r="CP299" s="240"/>
      <c r="CQ299" s="240"/>
      <c r="CR299" s="240"/>
      <c r="CS299" s="238"/>
      <c r="CT299" s="240"/>
      <c r="CU299" s="240"/>
      <c r="CV299" s="240"/>
      <c r="CW299" s="240"/>
      <c r="CX299" s="240"/>
      <c r="CY299" s="240"/>
      <c r="CZ299" s="240"/>
      <c r="DA299" s="240"/>
      <c r="DB299" s="240"/>
      <c r="DC299" s="240"/>
      <c r="DD299" s="240"/>
      <c r="DE299" s="240"/>
      <c r="DF299" s="238"/>
      <c r="DG299" s="240"/>
      <c r="DH299" s="240"/>
      <c r="DI299" s="240"/>
      <c r="DJ299" s="240"/>
      <c r="DK299" s="240"/>
      <c r="DL299" s="240"/>
      <c r="DM299" s="240"/>
      <c r="DN299" s="240"/>
      <c r="DO299" s="240"/>
      <c r="DP299" s="240"/>
      <c r="DQ299" s="240"/>
      <c r="DR299" s="238"/>
      <c r="DS299" s="240"/>
      <c r="DT299" s="240"/>
      <c r="DU299" s="240"/>
      <c r="DV299" s="238"/>
      <c r="DW299" s="240"/>
      <c r="DX299" s="240"/>
      <c r="DY299" s="240"/>
      <c r="DZ299" s="240"/>
      <c r="EA299" s="240"/>
      <c r="EB299" s="240"/>
      <c r="EC299" s="240"/>
      <c r="ED299" s="240"/>
      <c r="EE299" s="240"/>
      <c r="EF299" s="238"/>
      <c r="EG299" s="240"/>
      <c r="EH299" s="240"/>
      <c r="EI299" s="240"/>
      <c r="EJ299" s="238"/>
      <c r="EK299" s="240"/>
      <c r="EL299" s="238"/>
      <c r="EM299" s="240"/>
      <c r="EN299" s="240"/>
      <c r="EO299" s="240"/>
      <c r="EP299" s="240"/>
      <c r="EQ299" s="240"/>
      <c r="ER299" s="240"/>
      <c r="ES299" s="240"/>
      <c r="ET299" s="240"/>
      <c r="EU299" s="240"/>
      <c r="EV299" s="240"/>
      <c r="EW299" s="240"/>
      <c r="EX299" s="238"/>
      <c r="EY299" s="240"/>
      <c r="EZ299" s="240"/>
      <c r="FA299" s="240"/>
      <c r="FB299" s="240"/>
      <c r="FC299" s="240"/>
      <c r="FD299" s="240"/>
      <c r="FE299" s="240"/>
      <c r="FF299" s="240"/>
      <c r="FG299" s="240"/>
      <c r="FH299" s="240"/>
      <c r="FI299" s="240"/>
      <c r="FJ299" s="240"/>
      <c r="FK299" s="240"/>
      <c r="FL299" s="240"/>
      <c r="FM299" s="240"/>
      <c r="FN299" s="240"/>
      <c r="FO299" s="238"/>
      <c r="FP299" s="240"/>
      <c r="FQ299" s="240"/>
      <c r="FR299" s="240"/>
      <c r="FS299" s="240"/>
      <c r="FT299" s="240"/>
      <c r="FU299" s="240"/>
      <c r="FV299" s="240"/>
      <c r="FW299" s="240"/>
      <c r="FX299" s="240"/>
      <c r="FY299" s="240"/>
      <c r="FZ299" s="238"/>
      <c r="GA299" s="240"/>
      <c r="GB299" s="240"/>
      <c r="GC299" s="238"/>
      <c r="GD299" s="240"/>
      <c r="GE299" s="240"/>
      <c r="GF299" s="240"/>
      <c r="GG299" s="240"/>
      <c r="GH299" s="238"/>
      <c r="GI299" s="240"/>
      <c r="GJ299" s="240"/>
      <c r="GK299" s="240"/>
      <c r="GL299" s="240"/>
      <c r="GM299" s="238"/>
      <c r="GN299" s="240"/>
      <c r="GO299" s="240"/>
      <c r="GP299" s="240"/>
      <c r="GQ299" s="240"/>
      <c r="GR299" s="240"/>
      <c r="GS299" s="240"/>
      <c r="GT299" s="240"/>
      <c r="GU299" s="240"/>
      <c r="GV299" s="240"/>
      <c r="GW299" s="240"/>
      <c r="GX299" s="240"/>
      <c r="GY299" s="240"/>
      <c r="GZ299" s="240"/>
      <c r="HA299" s="240"/>
      <c r="HB299" s="240"/>
      <c r="HC299" s="240"/>
      <c r="HD299" s="238"/>
      <c r="HE299" s="240"/>
      <c r="HF299" s="240"/>
      <c r="HG299" s="240"/>
      <c r="HH299" s="240"/>
      <c r="HI299" s="240"/>
      <c r="HJ299" s="238"/>
      <c r="HK299" s="240"/>
      <c r="HL299" s="238"/>
      <c r="HM299" s="241"/>
      <c r="HN299" s="235"/>
      <c r="HO299" s="235"/>
      <c r="HP299" s="235"/>
      <c r="HQ299" s="235"/>
    </row>
    <row r="300" spans="2:225" ht="37.5" hidden="1" outlineLevel="1">
      <c r="B300" s="317" t="s">
        <v>1538</v>
      </c>
      <c r="C300" s="318" t="str">
        <f>IF(D7='3. Dropdowns'!C17,"Hide","Show")</f>
        <v>Show</v>
      </c>
      <c r="D300" s="236" t="s">
        <v>3369</v>
      </c>
      <c r="E300" s="237"/>
      <c r="F300" s="284" t="s">
        <v>539</v>
      </c>
      <c r="G300" s="230"/>
      <c r="H300" s="238"/>
      <c r="I300" s="239"/>
      <c r="J300" s="240"/>
      <c r="K300" s="240"/>
      <c r="L300" s="240"/>
      <c r="M300" s="240"/>
      <c r="N300" s="240"/>
      <c r="O300" s="240"/>
      <c r="P300" s="240"/>
      <c r="Q300" s="240"/>
      <c r="R300" s="240"/>
      <c r="S300" s="240" t="s">
        <v>890</v>
      </c>
      <c r="T300" s="240" t="s">
        <v>890</v>
      </c>
      <c r="U300" s="240"/>
      <c r="V300" s="240"/>
      <c r="W300" s="240"/>
      <c r="X300" s="238"/>
      <c r="Y300" s="240"/>
      <c r="Z300" s="240"/>
      <c r="AA300" s="240"/>
      <c r="AB300" s="240"/>
      <c r="AC300" s="240"/>
      <c r="AD300" s="240"/>
      <c r="AE300" s="240"/>
      <c r="AF300" s="240"/>
      <c r="AG300" s="240"/>
      <c r="AH300" s="238"/>
      <c r="AI300" s="240"/>
      <c r="AJ300" s="240"/>
      <c r="AK300" s="240"/>
      <c r="AL300" s="240"/>
      <c r="AM300" s="238"/>
      <c r="AN300" s="240"/>
      <c r="AO300" s="240"/>
      <c r="AP300" s="240"/>
      <c r="AQ300" s="238"/>
      <c r="AR300" s="240"/>
      <c r="AS300" s="240"/>
      <c r="AT300" s="240"/>
      <c r="AU300" s="240"/>
      <c r="AV300" s="240"/>
      <c r="AW300" s="240"/>
      <c r="AX300" s="240"/>
      <c r="AY300" s="240"/>
      <c r="AZ300" s="238"/>
      <c r="BA300" s="240"/>
      <c r="BB300" s="240"/>
      <c r="BC300" s="240"/>
      <c r="BD300" s="240"/>
      <c r="BE300" s="240"/>
      <c r="BF300" s="240"/>
      <c r="BG300" s="240"/>
      <c r="BH300" s="240"/>
      <c r="BI300" s="240"/>
      <c r="BJ300" s="240"/>
      <c r="BK300" s="240"/>
      <c r="BL300" s="240"/>
      <c r="BM300" s="240"/>
      <c r="BN300" s="240"/>
      <c r="BO300" s="240"/>
      <c r="BP300" s="238"/>
      <c r="BQ300" s="240"/>
      <c r="BR300" s="240"/>
      <c r="BS300" s="240"/>
      <c r="BT300" s="240"/>
      <c r="BU300" s="240"/>
      <c r="BV300" s="240"/>
      <c r="BW300" s="240"/>
      <c r="BX300" s="240"/>
      <c r="BY300" s="240"/>
      <c r="BZ300" s="240"/>
      <c r="CA300" s="240"/>
      <c r="CB300" s="240"/>
      <c r="CC300" s="240"/>
      <c r="CD300" s="240"/>
      <c r="CE300" s="240"/>
      <c r="CF300" s="238"/>
      <c r="CG300" s="240"/>
      <c r="CH300" s="240"/>
      <c r="CI300" s="240"/>
      <c r="CJ300" s="240"/>
      <c r="CK300" s="240"/>
      <c r="CL300" s="240"/>
      <c r="CM300" s="240"/>
      <c r="CN300" s="240"/>
      <c r="CO300" s="240"/>
      <c r="CP300" s="240"/>
      <c r="CQ300" s="240"/>
      <c r="CR300" s="240"/>
      <c r="CS300" s="238"/>
      <c r="CT300" s="240"/>
      <c r="CU300" s="240"/>
      <c r="CV300" s="240"/>
      <c r="CW300" s="240"/>
      <c r="CX300" s="240"/>
      <c r="CY300" s="240"/>
      <c r="CZ300" s="240"/>
      <c r="DA300" s="240"/>
      <c r="DB300" s="240"/>
      <c r="DC300" s="240"/>
      <c r="DD300" s="240"/>
      <c r="DE300" s="240"/>
      <c r="DF300" s="238"/>
      <c r="DG300" s="240"/>
      <c r="DH300" s="240"/>
      <c r="DI300" s="240"/>
      <c r="DJ300" s="240"/>
      <c r="DK300" s="240"/>
      <c r="DL300" s="240"/>
      <c r="DM300" s="240"/>
      <c r="DN300" s="240"/>
      <c r="DO300" s="240"/>
      <c r="DP300" s="240"/>
      <c r="DQ300" s="240"/>
      <c r="DR300" s="238"/>
      <c r="DS300" s="240"/>
      <c r="DT300" s="240"/>
      <c r="DU300" s="240"/>
      <c r="DV300" s="238"/>
      <c r="DW300" s="240"/>
      <c r="DX300" s="240"/>
      <c r="DY300" s="240"/>
      <c r="DZ300" s="240"/>
      <c r="EA300" s="240"/>
      <c r="EB300" s="240"/>
      <c r="EC300" s="240"/>
      <c r="ED300" s="240"/>
      <c r="EE300" s="240"/>
      <c r="EF300" s="238"/>
      <c r="EG300" s="240"/>
      <c r="EH300" s="240"/>
      <c r="EI300" s="240"/>
      <c r="EJ300" s="238"/>
      <c r="EK300" s="240"/>
      <c r="EL300" s="238"/>
      <c r="EM300" s="240"/>
      <c r="EN300" s="240"/>
      <c r="EO300" s="240"/>
      <c r="EP300" s="240"/>
      <c r="EQ300" s="240"/>
      <c r="ER300" s="240"/>
      <c r="ES300" s="240"/>
      <c r="ET300" s="240"/>
      <c r="EU300" s="240"/>
      <c r="EV300" s="240"/>
      <c r="EW300" s="240"/>
      <c r="EX300" s="238"/>
      <c r="EY300" s="240"/>
      <c r="EZ300" s="240"/>
      <c r="FA300" s="240"/>
      <c r="FB300" s="240"/>
      <c r="FC300" s="240"/>
      <c r="FD300" s="240"/>
      <c r="FE300" s="240"/>
      <c r="FF300" s="240"/>
      <c r="FG300" s="240"/>
      <c r="FH300" s="240"/>
      <c r="FI300" s="240"/>
      <c r="FJ300" s="240"/>
      <c r="FK300" s="240"/>
      <c r="FL300" s="240"/>
      <c r="FM300" s="240"/>
      <c r="FN300" s="240"/>
      <c r="FO300" s="238"/>
      <c r="FP300" s="240"/>
      <c r="FQ300" s="240"/>
      <c r="FR300" s="240"/>
      <c r="FS300" s="240"/>
      <c r="FT300" s="240"/>
      <c r="FU300" s="240"/>
      <c r="FV300" s="240"/>
      <c r="FW300" s="240"/>
      <c r="FX300" s="240"/>
      <c r="FY300" s="240"/>
      <c r="FZ300" s="238"/>
      <c r="GA300" s="240"/>
      <c r="GB300" s="240"/>
      <c r="GC300" s="238"/>
      <c r="GD300" s="240"/>
      <c r="GE300" s="240"/>
      <c r="GF300" s="240"/>
      <c r="GG300" s="240"/>
      <c r="GH300" s="238"/>
      <c r="GI300" s="240"/>
      <c r="GJ300" s="240"/>
      <c r="GK300" s="240"/>
      <c r="GL300" s="240"/>
      <c r="GM300" s="238"/>
      <c r="GN300" s="240"/>
      <c r="GO300" s="240"/>
      <c r="GP300" s="240"/>
      <c r="GQ300" s="240"/>
      <c r="GR300" s="240"/>
      <c r="GS300" s="240"/>
      <c r="GT300" s="240"/>
      <c r="GU300" s="240"/>
      <c r="GV300" s="240"/>
      <c r="GW300" s="240"/>
      <c r="GX300" s="240"/>
      <c r="GY300" s="240"/>
      <c r="GZ300" s="240"/>
      <c r="HA300" s="240"/>
      <c r="HB300" s="240"/>
      <c r="HC300" s="240"/>
      <c r="HD300" s="238"/>
      <c r="HE300" s="240"/>
      <c r="HF300" s="240"/>
      <c r="HG300" s="240"/>
      <c r="HH300" s="240"/>
      <c r="HI300" s="240"/>
      <c r="HJ300" s="238"/>
      <c r="HK300" s="240"/>
      <c r="HL300" s="238"/>
      <c r="HM300" s="241"/>
      <c r="HN300" s="235"/>
      <c r="HO300" s="235"/>
      <c r="HP300" s="235"/>
      <c r="HQ300" s="235"/>
    </row>
    <row r="301" spans="2:225" hidden="1" outlineLevel="1">
      <c r="B301" s="319" t="s">
        <v>1538</v>
      </c>
      <c r="C301" s="320" t="str">
        <f>IF(D7='3. Dropdowns'!C17,"Hide","Show")</f>
        <v>Show</v>
      </c>
      <c r="D301" s="310" t="s">
        <v>3370</v>
      </c>
      <c r="E301" s="311"/>
      <c r="F301" s="305" t="str">
        <f>IF(E301='3. Dropdowns'!C383,"","Submittals, Execution")</f>
        <v>Submittals, Execution</v>
      </c>
      <c r="G301" s="230"/>
      <c r="H301" s="238"/>
      <c r="I301" s="263" t="s">
        <v>890</v>
      </c>
      <c r="J301" s="263"/>
      <c r="K301" s="263"/>
      <c r="L301" s="263"/>
      <c r="M301" s="263"/>
      <c r="N301" s="263"/>
      <c r="O301" s="263"/>
      <c r="P301" s="263"/>
      <c r="Q301" s="263"/>
      <c r="R301" s="263"/>
      <c r="S301" s="263"/>
      <c r="T301" s="263"/>
      <c r="U301" s="263"/>
      <c r="V301" s="263"/>
      <c r="W301" s="263"/>
      <c r="X301" s="238"/>
      <c r="Y301" s="263"/>
      <c r="Z301" s="263"/>
      <c r="AA301" s="263"/>
      <c r="AB301" s="263"/>
      <c r="AC301" s="263"/>
      <c r="AD301" s="263"/>
      <c r="AE301" s="263"/>
      <c r="AF301" s="263"/>
      <c r="AG301" s="263"/>
      <c r="AH301" s="238"/>
      <c r="AI301" s="263"/>
      <c r="AJ301" s="263"/>
      <c r="AK301" s="263"/>
      <c r="AL301" s="263"/>
      <c r="AM301" s="238"/>
      <c r="AN301" s="263"/>
      <c r="AO301" s="263"/>
      <c r="AP301" s="263"/>
      <c r="AQ301" s="238"/>
      <c r="AR301" s="263"/>
      <c r="AS301" s="263"/>
      <c r="AT301" s="263"/>
      <c r="AU301" s="263"/>
      <c r="AV301" s="263"/>
      <c r="AW301" s="263"/>
      <c r="AX301" s="263"/>
      <c r="AY301" s="263"/>
      <c r="AZ301" s="238"/>
      <c r="BA301" s="263"/>
      <c r="BB301" s="263"/>
      <c r="BC301" s="263"/>
      <c r="BD301" s="263"/>
      <c r="BE301" s="263"/>
      <c r="BF301" s="263"/>
      <c r="BG301" s="263"/>
      <c r="BH301" s="263"/>
      <c r="BI301" s="263"/>
      <c r="BJ301" s="263"/>
      <c r="BK301" s="263"/>
      <c r="BL301" s="263"/>
      <c r="BM301" s="263"/>
      <c r="BN301" s="263"/>
      <c r="BO301" s="263"/>
      <c r="BP301" s="238"/>
      <c r="BQ301" s="263"/>
      <c r="BR301" s="263"/>
      <c r="BS301" s="263"/>
      <c r="BT301" s="263"/>
      <c r="BU301" s="263"/>
      <c r="BV301" s="263"/>
      <c r="BW301" s="263"/>
      <c r="BX301" s="263"/>
      <c r="BY301" s="263"/>
      <c r="BZ301" s="263"/>
      <c r="CA301" s="263"/>
      <c r="CB301" s="263"/>
      <c r="CC301" s="263"/>
      <c r="CD301" s="263"/>
      <c r="CE301" s="263"/>
      <c r="CF301" s="238"/>
      <c r="CG301" s="263"/>
      <c r="CH301" s="263"/>
      <c r="CI301" s="263"/>
      <c r="CJ301" s="263"/>
      <c r="CK301" s="263"/>
      <c r="CL301" s="263"/>
      <c r="CM301" s="263"/>
      <c r="CN301" s="263"/>
      <c r="CO301" s="263"/>
      <c r="CP301" s="263"/>
      <c r="CQ301" s="263"/>
      <c r="CR301" s="263"/>
      <c r="CS301" s="238"/>
      <c r="CT301" s="263"/>
      <c r="CU301" s="263"/>
      <c r="CV301" s="263"/>
      <c r="CW301" s="263"/>
      <c r="CX301" s="263"/>
      <c r="CY301" s="263"/>
      <c r="CZ301" s="263"/>
      <c r="DA301" s="263"/>
      <c r="DB301" s="263"/>
      <c r="DC301" s="263"/>
      <c r="DD301" s="263"/>
      <c r="DE301" s="263"/>
      <c r="DF301" s="238"/>
      <c r="DG301" s="263"/>
      <c r="DH301" s="263"/>
      <c r="DI301" s="263"/>
      <c r="DJ301" s="263"/>
      <c r="DK301" s="263"/>
      <c r="DL301" s="263"/>
      <c r="DM301" s="263"/>
      <c r="DN301" s="263"/>
      <c r="DO301" s="263"/>
      <c r="DP301" s="263"/>
      <c r="DQ301" s="263"/>
      <c r="DR301" s="238"/>
      <c r="DS301" s="263"/>
      <c r="DT301" s="263"/>
      <c r="DU301" s="263"/>
      <c r="DV301" s="238"/>
      <c r="DW301" s="263"/>
      <c r="DX301" s="263"/>
      <c r="DY301" s="263"/>
      <c r="DZ301" s="263"/>
      <c r="EA301" s="263"/>
      <c r="EB301" s="263"/>
      <c r="EC301" s="263"/>
      <c r="ED301" s="263"/>
      <c r="EE301" s="263"/>
      <c r="EF301" s="238"/>
      <c r="EG301" s="263"/>
      <c r="EH301" s="263"/>
      <c r="EI301" s="263"/>
      <c r="EJ301" s="238"/>
      <c r="EK301" s="263"/>
      <c r="EL301" s="238"/>
      <c r="EM301" s="263"/>
      <c r="EN301" s="263" t="s">
        <v>890</v>
      </c>
      <c r="EO301" s="263"/>
      <c r="EP301" s="263"/>
      <c r="EQ301" s="263"/>
      <c r="ER301" s="263"/>
      <c r="ES301" s="263"/>
      <c r="ET301" s="263"/>
      <c r="EU301" s="263"/>
      <c r="EV301" s="263"/>
      <c r="EW301" s="263"/>
      <c r="EX301" s="238"/>
      <c r="EY301" s="263"/>
      <c r="EZ301" s="263"/>
      <c r="FA301" s="263"/>
      <c r="FB301" s="263"/>
      <c r="FC301" s="263"/>
      <c r="FD301" s="263"/>
      <c r="FE301" s="263"/>
      <c r="FF301" s="263"/>
      <c r="FG301" s="263"/>
      <c r="FH301" s="263"/>
      <c r="FI301" s="263"/>
      <c r="FJ301" s="263"/>
      <c r="FK301" s="263"/>
      <c r="FL301" s="263"/>
      <c r="FM301" s="263"/>
      <c r="FN301" s="263"/>
      <c r="FO301" s="238"/>
      <c r="FP301" s="263"/>
      <c r="FQ301" s="263"/>
      <c r="FR301" s="263"/>
      <c r="FS301" s="263"/>
      <c r="FT301" s="263"/>
      <c r="FU301" s="263"/>
      <c r="FV301" s="263"/>
      <c r="FW301" s="263" t="s">
        <v>890</v>
      </c>
      <c r="FX301" s="263"/>
      <c r="FY301" s="263"/>
      <c r="FZ301" s="238"/>
      <c r="GA301" s="263"/>
      <c r="GB301" s="263"/>
      <c r="GC301" s="238"/>
      <c r="GD301" s="263"/>
      <c r="GE301" s="263"/>
      <c r="GF301" s="263"/>
      <c r="GG301" s="263"/>
      <c r="GH301" s="238"/>
      <c r="GI301" s="263"/>
      <c r="GJ301" s="263"/>
      <c r="GK301" s="263"/>
      <c r="GL301" s="263"/>
      <c r="GM301" s="238"/>
      <c r="GN301" s="263"/>
      <c r="GO301" s="263"/>
      <c r="GP301" s="263"/>
      <c r="GQ301" s="263"/>
      <c r="GR301" s="263"/>
      <c r="GS301" s="263"/>
      <c r="GT301" s="263"/>
      <c r="GU301" s="263"/>
      <c r="GV301" s="263"/>
      <c r="GW301" s="263"/>
      <c r="GX301" s="263"/>
      <c r="GY301" s="263"/>
      <c r="GZ301" s="263"/>
      <c r="HA301" s="263"/>
      <c r="HB301" s="263"/>
      <c r="HC301" s="263"/>
      <c r="HD301" s="238"/>
      <c r="HE301" s="263"/>
      <c r="HF301" s="263"/>
      <c r="HG301" s="263"/>
      <c r="HH301" s="263"/>
      <c r="HI301" s="263"/>
      <c r="HJ301" s="238"/>
      <c r="HK301" s="263"/>
      <c r="HL301" s="238"/>
      <c r="HM301" s="280"/>
      <c r="HN301" s="235"/>
      <c r="HO301" s="235"/>
      <c r="HP301" s="235"/>
      <c r="HQ301" s="235"/>
    </row>
    <row r="302" spans="2:225" collapsed="1">
      <c r="B302" s="321"/>
      <c r="C302" s="321"/>
      <c r="D302" s="321"/>
      <c r="E302" s="322"/>
      <c r="F302" s="323"/>
      <c r="G302" s="323"/>
      <c r="H302" s="324"/>
      <c r="I302" s="324"/>
      <c r="J302" s="324"/>
      <c r="K302" s="324"/>
      <c r="L302" s="324"/>
      <c r="M302" s="324"/>
      <c r="N302" s="324"/>
      <c r="O302" s="324"/>
      <c r="P302" s="324"/>
      <c r="Q302" s="324"/>
      <c r="R302" s="324"/>
      <c r="S302" s="324"/>
      <c r="T302" s="324"/>
      <c r="U302" s="324"/>
      <c r="V302" s="324"/>
      <c r="W302" s="324"/>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c r="AS302" s="324"/>
      <c r="AT302" s="324"/>
      <c r="AU302" s="324"/>
      <c r="AV302" s="324"/>
      <c r="AW302" s="324"/>
      <c r="AX302" s="324"/>
      <c r="AY302" s="324"/>
      <c r="AZ302" s="324"/>
      <c r="BA302" s="324"/>
      <c r="BB302" s="324"/>
      <c r="BC302" s="324"/>
      <c r="BD302" s="324"/>
      <c r="BE302" s="324"/>
      <c r="BF302" s="324"/>
      <c r="BG302" s="324"/>
      <c r="BH302" s="324"/>
      <c r="BI302" s="324"/>
      <c r="BJ302" s="324"/>
      <c r="BK302" s="324"/>
      <c r="BL302" s="324"/>
      <c r="BM302" s="324"/>
      <c r="BN302" s="324"/>
      <c r="BO302" s="324"/>
      <c r="BP302" s="324"/>
      <c r="BQ302" s="324"/>
      <c r="BR302" s="324"/>
      <c r="BS302" s="324"/>
      <c r="BT302" s="324"/>
      <c r="BU302" s="324"/>
      <c r="BV302" s="324"/>
      <c r="BW302" s="324"/>
      <c r="BX302" s="324"/>
      <c r="BY302" s="324"/>
      <c r="BZ302" s="324"/>
      <c r="CA302" s="324"/>
      <c r="CB302" s="324"/>
      <c r="CC302" s="324"/>
      <c r="CD302" s="324"/>
      <c r="CE302" s="324"/>
      <c r="CF302" s="324"/>
      <c r="CG302" s="324"/>
      <c r="CH302" s="324"/>
      <c r="CI302" s="324"/>
      <c r="CJ302" s="324"/>
      <c r="CK302" s="324"/>
      <c r="CL302" s="324"/>
      <c r="CM302" s="324"/>
      <c r="CN302" s="324"/>
      <c r="CO302" s="324"/>
      <c r="CP302" s="324"/>
      <c r="CQ302" s="324"/>
      <c r="CR302" s="324"/>
      <c r="CS302" s="324"/>
      <c r="CT302" s="324"/>
      <c r="CU302" s="324"/>
      <c r="CV302" s="324"/>
      <c r="CW302" s="324"/>
      <c r="CX302" s="324"/>
      <c r="CY302" s="324"/>
      <c r="CZ302" s="324"/>
      <c r="DA302" s="324"/>
      <c r="DB302" s="324"/>
      <c r="DC302" s="324"/>
      <c r="DD302" s="324"/>
      <c r="DE302" s="324"/>
      <c r="DF302" s="324"/>
      <c r="DG302" s="324"/>
      <c r="DH302" s="324"/>
      <c r="DI302" s="324"/>
      <c r="DJ302" s="324"/>
      <c r="DK302" s="324"/>
      <c r="DL302" s="324"/>
      <c r="DM302" s="324"/>
      <c r="DN302" s="324"/>
      <c r="DO302" s="324"/>
      <c r="DP302" s="324"/>
      <c r="DQ302" s="324"/>
      <c r="DR302" s="324"/>
      <c r="DS302" s="324"/>
      <c r="DT302" s="324"/>
      <c r="DU302" s="324"/>
      <c r="DV302" s="324"/>
      <c r="DW302" s="324"/>
      <c r="DX302" s="324"/>
      <c r="DY302" s="324"/>
      <c r="DZ302" s="324"/>
      <c r="EA302" s="324"/>
      <c r="EB302" s="324"/>
      <c r="EC302" s="324"/>
      <c r="ED302" s="324"/>
      <c r="EE302" s="324"/>
      <c r="EF302" s="324"/>
      <c r="EG302" s="324"/>
      <c r="EH302" s="324"/>
      <c r="EI302" s="324"/>
      <c r="EJ302" s="324"/>
      <c r="EK302" s="324"/>
      <c r="EL302" s="324"/>
      <c r="EM302" s="324"/>
      <c r="EN302" s="324"/>
      <c r="EO302" s="324"/>
      <c r="EP302" s="324"/>
      <c r="EQ302" s="324"/>
      <c r="ER302" s="324"/>
      <c r="ES302" s="324"/>
      <c r="ET302" s="324"/>
      <c r="EU302" s="324"/>
      <c r="EV302" s="324"/>
      <c r="EW302" s="324"/>
      <c r="EX302" s="324"/>
      <c r="EY302" s="324"/>
      <c r="EZ302" s="324"/>
      <c r="FA302" s="324"/>
      <c r="FB302" s="324"/>
      <c r="FC302" s="324"/>
      <c r="FD302" s="324"/>
      <c r="FE302" s="324"/>
      <c r="FF302" s="324"/>
      <c r="FG302" s="324"/>
      <c r="FH302" s="324"/>
      <c r="FI302" s="324"/>
      <c r="FJ302" s="324"/>
      <c r="FK302" s="324"/>
      <c r="FL302" s="324"/>
      <c r="FM302" s="324"/>
      <c r="FN302" s="324"/>
      <c r="FO302" s="324"/>
      <c r="FP302" s="324"/>
      <c r="FQ302" s="324"/>
      <c r="FR302" s="324"/>
      <c r="FS302" s="324"/>
      <c r="FT302" s="324"/>
      <c r="FU302" s="324"/>
      <c r="FV302" s="324"/>
      <c r="FW302" s="324"/>
      <c r="FX302" s="324"/>
      <c r="FY302" s="324"/>
      <c r="FZ302" s="324"/>
      <c r="GA302" s="324"/>
      <c r="GB302" s="324"/>
      <c r="GC302" s="324"/>
      <c r="GD302" s="324"/>
      <c r="GE302" s="324"/>
      <c r="GF302" s="324"/>
      <c r="GG302" s="324"/>
      <c r="GH302" s="324"/>
      <c r="GI302" s="324"/>
      <c r="GJ302" s="324"/>
      <c r="GK302" s="324"/>
      <c r="GL302" s="324"/>
      <c r="GM302" s="324"/>
      <c r="GN302" s="324"/>
      <c r="GO302" s="324"/>
      <c r="GP302" s="324"/>
      <c r="GQ302" s="324"/>
      <c r="GR302" s="324"/>
      <c r="GS302" s="324"/>
      <c r="GT302" s="324"/>
      <c r="GU302" s="324"/>
      <c r="GV302" s="324"/>
      <c r="GW302" s="324"/>
      <c r="GX302" s="324"/>
      <c r="GY302" s="324"/>
      <c r="GZ302" s="324"/>
      <c r="HA302" s="324"/>
      <c r="HB302" s="324"/>
      <c r="HC302" s="324"/>
      <c r="HD302" s="324"/>
      <c r="HE302" s="324"/>
      <c r="HF302" s="324"/>
      <c r="HG302" s="324"/>
      <c r="HH302" s="324"/>
      <c r="HI302" s="324"/>
      <c r="HJ302" s="324"/>
      <c r="HK302" s="324"/>
      <c r="HL302" s="324"/>
      <c r="HM302" s="324"/>
      <c r="HN302" s="235"/>
      <c r="HO302" s="235"/>
      <c r="HP302" s="235"/>
      <c r="HQ302" s="235"/>
    </row>
    <row r="303" spans="2:225">
      <c r="H303" s="235"/>
      <c r="I303" s="235"/>
      <c r="J303" s="235"/>
      <c r="K303" s="235"/>
      <c r="L303" s="235"/>
      <c r="M303" s="235"/>
      <c r="N303" s="235"/>
      <c r="O303" s="235"/>
      <c r="P303" s="235"/>
      <c r="Q303" s="235"/>
      <c r="R303" s="235"/>
      <c r="S303" s="235"/>
      <c r="T303" s="235"/>
      <c r="U303" s="235"/>
      <c r="V303" s="235"/>
      <c r="W303" s="235"/>
      <c r="X303" s="235"/>
      <c r="Y303" s="235"/>
      <c r="Z303" s="235"/>
      <c r="AA303" s="235"/>
      <c r="AB303" s="235"/>
      <c r="AC303" s="235"/>
      <c r="AD303" s="235"/>
      <c r="AE303" s="235"/>
      <c r="AF303" s="235"/>
      <c r="AG303" s="235"/>
      <c r="AH303" s="235"/>
      <c r="AI303" s="235"/>
      <c r="AJ303" s="235"/>
      <c r="AK303" s="235"/>
      <c r="AL303" s="235"/>
      <c r="AM303" s="235"/>
      <c r="AN303" s="235"/>
      <c r="AO303" s="235"/>
      <c r="AP303" s="235"/>
      <c r="AQ303" s="235"/>
      <c r="AR303" s="235"/>
      <c r="AS303" s="235"/>
      <c r="AT303" s="235"/>
      <c r="AU303" s="235"/>
      <c r="AV303" s="235"/>
      <c r="AW303" s="235"/>
      <c r="AX303" s="235"/>
      <c r="AY303" s="235"/>
      <c r="AZ303" s="235"/>
      <c r="BA303" s="235"/>
      <c r="BB303" s="235"/>
      <c r="BC303" s="235"/>
      <c r="BD303" s="235"/>
      <c r="BE303" s="235"/>
      <c r="BF303" s="235"/>
      <c r="BG303" s="235"/>
      <c r="BH303" s="235"/>
      <c r="BI303" s="235"/>
      <c r="BJ303" s="235"/>
      <c r="BK303" s="235"/>
      <c r="BL303" s="235"/>
      <c r="BM303" s="235"/>
      <c r="BN303" s="235"/>
      <c r="BO303" s="235"/>
      <c r="BP303" s="235"/>
      <c r="BQ303" s="235"/>
      <c r="BR303" s="235"/>
      <c r="BS303" s="235"/>
      <c r="BT303" s="235"/>
      <c r="BU303" s="235"/>
      <c r="BV303" s="235"/>
      <c r="BW303" s="235"/>
      <c r="BX303" s="235"/>
      <c r="BY303" s="235"/>
      <c r="BZ303" s="235"/>
      <c r="CA303" s="235"/>
      <c r="CB303" s="235"/>
      <c r="CC303" s="235"/>
      <c r="CD303" s="235"/>
      <c r="CE303" s="235"/>
      <c r="CF303" s="235"/>
      <c r="CG303" s="235"/>
      <c r="CH303" s="235"/>
      <c r="CI303" s="235"/>
      <c r="CJ303" s="235"/>
      <c r="CK303" s="235"/>
      <c r="CL303" s="235"/>
      <c r="CM303" s="235"/>
      <c r="CN303" s="235"/>
      <c r="CO303" s="235"/>
      <c r="CP303" s="235"/>
      <c r="CQ303" s="235"/>
      <c r="CR303" s="235"/>
      <c r="CS303" s="235"/>
      <c r="CT303" s="235"/>
      <c r="CU303" s="235"/>
      <c r="CV303" s="235"/>
      <c r="CW303" s="235"/>
      <c r="CX303" s="235"/>
      <c r="CY303" s="235"/>
      <c r="CZ303" s="235"/>
      <c r="DA303" s="235"/>
      <c r="DB303" s="235"/>
      <c r="DC303" s="235"/>
      <c r="DD303" s="235"/>
      <c r="DE303" s="235"/>
      <c r="DF303" s="235"/>
      <c r="DG303" s="235"/>
      <c r="DH303" s="235"/>
      <c r="DI303" s="235"/>
      <c r="DJ303" s="235"/>
      <c r="DK303" s="235"/>
      <c r="DL303" s="235"/>
      <c r="DM303" s="235"/>
      <c r="DN303" s="235"/>
      <c r="DO303" s="235"/>
      <c r="DP303" s="235"/>
      <c r="DQ303" s="235"/>
      <c r="DR303" s="235"/>
      <c r="DS303" s="235"/>
      <c r="DT303" s="235"/>
      <c r="DU303" s="235"/>
      <c r="DV303" s="235"/>
      <c r="DW303" s="235"/>
      <c r="DX303" s="235"/>
      <c r="DY303" s="235"/>
      <c r="DZ303" s="235"/>
      <c r="EA303" s="235"/>
      <c r="EB303" s="235"/>
      <c r="EC303" s="235"/>
      <c r="ED303" s="235"/>
      <c r="EE303" s="235"/>
      <c r="EF303" s="235"/>
      <c r="EG303" s="235"/>
      <c r="EH303" s="235"/>
      <c r="EI303" s="235"/>
      <c r="EJ303" s="235"/>
      <c r="EK303" s="235"/>
      <c r="EL303" s="235"/>
      <c r="EM303" s="235"/>
      <c r="EN303" s="235"/>
      <c r="EO303" s="235"/>
      <c r="EP303" s="235"/>
      <c r="EQ303" s="235"/>
      <c r="ER303" s="235"/>
      <c r="ES303" s="235"/>
      <c r="ET303" s="235"/>
      <c r="EU303" s="235"/>
      <c r="EV303" s="235"/>
      <c r="EW303" s="235"/>
      <c r="EX303" s="235"/>
      <c r="EY303" s="235"/>
      <c r="EZ303" s="235"/>
      <c r="FA303" s="235"/>
      <c r="FB303" s="235"/>
      <c r="FC303" s="235"/>
      <c r="FD303" s="235"/>
      <c r="FE303" s="235"/>
      <c r="FF303" s="235"/>
      <c r="FG303" s="235"/>
      <c r="FH303" s="235"/>
      <c r="FI303" s="235"/>
      <c r="FJ303" s="235"/>
      <c r="FK303" s="235"/>
      <c r="FL303" s="235"/>
      <c r="FM303" s="235"/>
      <c r="FN303" s="235"/>
      <c r="FO303" s="235"/>
      <c r="FP303" s="235"/>
      <c r="FQ303" s="235"/>
      <c r="FR303" s="235"/>
      <c r="FS303" s="235"/>
      <c r="FT303" s="235"/>
      <c r="FU303" s="235"/>
      <c r="FV303" s="235"/>
      <c r="FW303" s="235"/>
      <c r="FX303" s="235"/>
      <c r="FY303" s="235"/>
      <c r="FZ303" s="235"/>
      <c r="GA303" s="235"/>
      <c r="GB303" s="235"/>
      <c r="GC303" s="235"/>
      <c r="GD303" s="235"/>
      <c r="GE303" s="235"/>
      <c r="GF303" s="235"/>
      <c r="GG303" s="235"/>
      <c r="GH303" s="235"/>
      <c r="GI303" s="235"/>
      <c r="GJ303" s="235"/>
      <c r="GK303" s="235"/>
      <c r="GL303" s="235"/>
      <c r="GM303" s="235"/>
      <c r="GN303" s="235"/>
      <c r="GO303" s="235"/>
      <c r="GP303" s="235"/>
      <c r="GQ303" s="235"/>
      <c r="GR303" s="235"/>
      <c r="GS303" s="235"/>
      <c r="GT303" s="235"/>
      <c r="GU303" s="235"/>
      <c r="GV303" s="235"/>
      <c r="GW303" s="235"/>
      <c r="GX303" s="235"/>
      <c r="GY303" s="235"/>
      <c r="GZ303" s="235"/>
      <c r="HA303" s="235"/>
      <c r="HB303" s="235"/>
      <c r="HC303" s="235"/>
      <c r="HD303" s="235"/>
      <c r="HE303" s="235"/>
      <c r="HF303" s="235"/>
      <c r="HG303" s="235"/>
      <c r="HH303" s="235"/>
      <c r="HI303" s="235"/>
      <c r="HJ303" s="235"/>
      <c r="HK303" s="235"/>
      <c r="HL303" s="235"/>
      <c r="HM303" s="235"/>
      <c r="HN303" s="235"/>
      <c r="HO303" s="235"/>
      <c r="HP303" s="235"/>
      <c r="HQ303" s="235"/>
    </row>
    <row r="304" spans="2:225">
      <c r="H304" s="235"/>
      <c r="I304" s="235"/>
      <c r="J304" s="235"/>
      <c r="K304" s="235"/>
      <c r="L304" s="235"/>
      <c r="M304" s="235"/>
      <c r="N304" s="235"/>
      <c r="O304" s="235"/>
      <c r="P304" s="235"/>
      <c r="Q304" s="235"/>
      <c r="R304" s="235"/>
      <c r="S304" s="235"/>
      <c r="T304" s="235"/>
      <c r="U304" s="235"/>
      <c r="V304" s="235"/>
      <c r="W304" s="235"/>
      <c r="X304" s="235"/>
      <c r="Y304" s="235"/>
      <c r="Z304" s="235"/>
      <c r="AA304" s="235"/>
      <c r="AB304" s="235"/>
      <c r="AC304" s="235"/>
      <c r="AD304" s="235"/>
      <c r="AE304" s="235"/>
      <c r="AF304" s="235"/>
      <c r="AG304" s="235"/>
      <c r="AH304" s="235"/>
      <c r="AI304" s="235"/>
      <c r="AJ304" s="235"/>
      <c r="AK304" s="235"/>
      <c r="AL304" s="235"/>
      <c r="AM304" s="235"/>
      <c r="AN304" s="235"/>
      <c r="AO304" s="235"/>
      <c r="AP304" s="235"/>
      <c r="AQ304" s="235"/>
      <c r="AR304" s="235"/>
      <c r="AS304" s="235"/>
      <c r="AT304" s="235"/>
      <c r="AU304" s="235"/>
      <c r="AV304" s="235"/>
      <c r="AW304" s="235"/>
      <c r="AX304" s="235"/>
      <c r="AY304" s="235"/>
      <c r="AZ304" s="235"/>
      <c r="BA304" s="235"/>
      <c r="BB304" s="235"/>
      <c r="BC304" s="235"/>
      <c r="BD304" s="235"/>
      <c r="BE304" s="235"/>
      <c r="BF304" s="235"/>
      <c r="BG304" s="235"/>
      <c r="BH304" s="235"/>
      <c r="BI304" s="235"/>
      <c r="BJ304" s="235"/>
      <c r="BK304" s="235"/>
      <c r="BL304" s="235"/>
      <c r="BM304" s="235"/>
      <c r="BN304" s="235"/>
      <c r="BO304" s="235"/>
      <c r="BP304" s="235"/>
      <c r="BQ304" s="235"/>
      <c r="BR304" s="235"/>
      <c r="BS304" s="235"/>
      <c r="BT304" s="235"/>
      <c r="BU304" s="235"/>
      <c r="BV304" s="235"/>
      <c r="BW304" s="235"/>
      <c r="BX304" s="235"/>
      <c r="BY304" s="235"/>
      <c r="BZ304" s="235"/>
      <c r="CA304" s="235"/>
      <c r="CB304" s="235"/>
      <c r="CC304" s="235"/>
      <c r="CD304" s="235"/>
      <c r="CE304" s="235"/>
      <c r="CF304" s="235"/>
      <c r="CG304" s="235"/>
      <c r="CH304" s="235"/>
      <c r="CI304" s="235"/>
      <c r="CJ304" s="235"/>
      <c r="CK304" s="235"/>
      <c r="CL304" s="235"/>
      <c r="CM304" s="235"/>
      <c r="CN304" s="235"/>
      <c r="CO304" s="235"/>
      <c r="CP304" s="235"/>
      <c r="CQ304" s="235"/>
      <c r="CR304" s="235"/>
      <c r="CS304" s="235"/>
      <c r="CT304" s="235"/>
      <c r="CU304" s="235"/>
      <c r="CV304" s="235"/>
      <c r="CW304" s="235"/>
      <c r="CX304" s="235"/>
      <c r="CY304" s="235"/>
      <c r="CZ304" s="235"/>
      <c r="DA304" s="235"/>
      <c r="DB304" s="235"/>
      <c r="DC304" s="235"/>
      <c r="DD304" s="235"/>
      <c r="DE304" s="235"/>
      <c r="DF304" s="235"/>
      <c r="DG304" s="235"/>
      <c r="DH304" s="235"/>
      <c r="DI304" s="235"/>
      <c r="DJ304" s="235"/>
      <c r="DK304" s="235"/>
      <c r="DL304" s="235"/>
      <c r="DM304" s="235"/>
      <c r="DN304" s="235"/>
      <c r="DO304" s="235"/>
      <c r="DP304" s="235"/>
      <c r="DQ304" s="235"/>
      <c r="DR304" s="235"/>
      <c r="DS304" s="235"/>
      <c r="DT304" s="235"/>
      <c r="DU304" s="235"/>
      <c r="DV304" s="235"/>
      <c r="DW304" s="235"/>
      <c r="DX304" s="235"/>
      <c r="DY304" s="235"/>
      <c r="DZ304" s="235"/>
      <c r="EA304" s="235"/>
      <c r="EB304" s="235"/>
      <c r="EC304" s="235"/>
      <c r="ED304" s="235"/>
      <c r="EE304" s="235"/>
      <c r="EF304" s="235"/>
      <c r="EG304" s="235"/>
      <c r="EH304" s="235"/>
      <c r="EI304" s="235"/>
      <c r="EJ304" s="235"/>
      <c r="EK304" s="235"/>
      <c r="EL304" s="235"/>
      <c r="EM304" s="235"/>
      <c r="EN304" s="235"/>
      <c r="EO304" s="235"/>
      <c r="EP304" s="235"/>
      <c r="EQ304" s="235"/>
      <c r="ER304" s="235"/>
      <c r="ES304" s="235"/>
      <c r="ET304" s="235"/>
      <c r="EU304" s="235"/>
      <c r="EV304" s="235"/>
      <c r="EW304" s="235"/>
      <c r="EX304" s="235"/>
      <c r="EY304" s="235"/>
      <c r="EZ304" s="235"/>
      <c r="FA304" s="235"/>
      <c r="FB304" s="235"/>
      <c r="FC304" s="235"/>
      <c r="FD304" s="235"/>
      <c r="FE304" s="235"/>
      <c r="FF304" s="235"/>
      <c r="FG304" s="235"/>
      <c r="FH304" s="235"/>
      <c r="FI304" s="235"/>
      <c r="FJ304" s="235"/>
      <c r="FK304" s="235"/>
      <c r="FL304" s="235"/>
      <c r="FM304" s="235"/>
      <c r="FN304" s="235"/>
      <c r="FO304" s="235"/>
      <c r="FP304" s="235"/>
      <c r="FQ304" s="235"/>
      <c r="FR304" s="235"/>
      <c r="FS304" s="235"/>
      <c r="FT304" s="235"/>
      <c r="FU304" s="235"/>
      <c r="FV304" s="235"/>
      <c r="FW304" s="235"/>
      <c r="FX304" s="235"/>
      <c r="FY304" s="235"/>
      <c r="FZ304" s="235"/>
      <c r="GA304" s="235"/>
      <c r="GB304" s="235"/>
      <c r="GC304" s="235"/>
      <c r="GD304" s="235"/>
      <c r="GE304" s="235"/>
      <c r="GF304" s="235"/>
      <c r="GG304" s="235"/>
      <c r="GH304" s="235"/>
      <c r="GI304" s="235"/>
      <c r="GJ304" s="235"/>
      <c r="GK304" s="235"/>
      <c r="GL304" s="235"/>
      <c r="GM304" s="235"/>
      <c r="GN304" s="235"/>
      <c r="GO304" s="235"/>
      <c r="GP304" s="235"/>
      <c r="GQ304" s="235"/>
      <c r="GR304" s="235"/>
      <c r="GS304" s="235"/>
      <c r="GT304" s="235"/>
      <c r="GU304" s="235"/>
      <c r="GV304" s="235"/>
      <c r="GW304" s="235"/>
      <c r="GX304" s="235"/>
      <c r="GY304" s="235"/>
      <c r="GZ304" s="235"/>
      <c r="HA304" s="235"/>
      <c r="HB304" s="235"/>
      <c r="HC304" s="235"/>
      <c r="HD304" s="235"/>
      <c r="HE304" s="235"/>
      <c r="HF304" s="235"/>
      <c r="HG304" s="235"/>
      <c r="HH304" s="235"/>
      <c r="HI304" s="235"/>
      <c r="HJ304" s="235"/>
      <c r="HK304" s="235"/>
      <c r="HL304" s="235"/>
      <c r="HM304" s="235"/>
      <c r="HN304" s="235"/>
      <c r="HO304" s="235"/>
      <c r="HP304" s="235"/>
      <c r="HQ304" s="235"/>
    </row>
    <row r="305" spans="8:225">
      <c r="H305" s="235"/>
      <c r="I305" s="235"/>
      <c r="J305" s="235"/>
      <c r="K305" s="235"/>
      <c r="L305" s="235"/>
      <c r="M305" s="235"/>
      <c r="N305" s="235"/>
      <c r="O305" s="235"/>
      <c r="P305" s="235"/>
      <c r="Q305" s="235"/>
      <c r="R305" s="235"/>
      <c r="S305" s="235"/>
      <c r="T305" s="235"/>
      <c r="U305" s="235"/>
      <c r="V305" s="235"/>
      <c r="W305" s="235"/>
      <c r="X305" s="235"/>
      <c r="Y305" s="235"/>
      <c r="Z305" s="235"/>
      <c r="AA305" s="235"/>
      <c r="AB305" s="235"/>
      <c r="AC305" s="235"/>
      <c r="AD305" s="235"/>
      <c r="AE305" s="235"/>
      <c r="AF305" s="235"/>
      <c r="AG305" s="235"/>
      <c r="AH305" s="235"/>
      <c r="AI305" s="235"/>
      <c r="AJ305" s="235"/>
      <c r="AK305" s="235"/>
      <c r="AL305" s="235"/>
      <c r="AM305" s="235"/>
      <c r="AN305" s="235"/>
      <c r="AO305" s="235"/>
      <c r="AP305" s="235"/>
      <c r="AQ305" s="235"/>
      <c r="AR305" s="235"/>
      <c r="AS305" s="235"/>
      <c r="AT305" s="235"/>
      <c r="AU305" s="235"/>
      <c r="AV305" s="235"/>
      <c r="AW305" s="235"/>
      <c r="AX305" s="235"/>
      <c r="AY305" s="235"/>
      <c r="AZ305" s="235"/>
      <c r="BA305" s="235"/>
      <c r="BB305" s="235"/>
      <c r="BC305" s="235"/>
      <c r="BD305" s="235"/>
      <c r="BE305" s="235"/>
      <c r="BF305" s="235"/>
      <c r="BG305" s="235"/>
      <c r="BH305" s="235"/>
      <c r="BI305" s="235"/>
      <c r="BJ305" s="235"/>
      <c r="BK305" s="235"/>
      <c r="BL305" s="235"/>
      <c r="BM305" s="235"/>
      <c r="BN305" s="235"/>
      <c r="BO305" s="235"/>
      <c r="BP305" s="235"/>
      <c r="BQ305" s="235"/>
      <c r="BR305" s="235"/>
      <c r="BS305" s="235"/>
      <c r="BT305" s="235"/>
      <c r="BU305" s="235"/>
      <c r="BV305" s="235"/>
      <c r="BW305" s="235"/>
      <c r="BX305" s="235"/>
      <c r="BY305" s="235"/>
      <c r="BZ305" s="235"/>
      <c r="CA305" s="235"/>
      <c r="CB305" s="235"/>
      <c r="CC305" s="235"/>
      <c r="CD305" s="235"/>
      <c r="CE305" s="235"/>
      <c r="CF305" s="235"/>
      <c r="CG305" s="235"/>
      <c r="CH305" s="235"/>
      <c r="CI305" s="235"/>
      <c r="CJ305" s="235"/>
      <c r="CK305" s="235"/>
      <c r="CL305" s="235"/>
      <c r="CM305" s="235"/>
      <c r="CN305" s="235"/>
      <c r="CO305" s="235"/>
      <c r="CP305" s="235"/>
      <c r="CQ305" s="235"/>
      <c r="CR305" s="235"/>
      <c r="CS305" s="235"/>
      <c r="CT305" s="235"/>
      <c r="CU305" s="235"/>
      <c r="CV305" s="235"/>
      <c r="CW305" s="235"/>
      <c r="CX305" s="235"/>
      <c r="CY305" s="235"/>
      <c r="CZ305" s="235"/>
      <c r="DA305" s="235"/>
      <c r="DB305" s="235"/>
      <c r="DC305" s="235"/>
      <c r="DD305" s="235"/>
      <c r="DE305" s="235"/>
      <c r="DF305" s="235"/>
      <c r="DG305" s="235"/>
      <c r="DH305" s="235"/>
      <c r="DI305" s="235"/>
      <c r="DJ305" s="235"/>
      <c r="DK305" s="235"/>
      <c r="DL305" s="235"/>
      <c r="DM305" s="235"/>
      <c r="DN305" s="235"/>
      <c r="DO305" s="235"/>
      <c r="DP305" s="235"/>
      <c r="DQ305" s="235"/>
      <c r="DR305" s="235"/>
      <c r="DS305" s="235"/>
      <c r="DT305" s="235"/>
      <c r="DU305" s="235"/>
      <c r="DV305" s="235"/>
      <c r="DW305" s="235"/>
      <c r="DX305" s="235"/>
      <c r="DY305" s="235"/>
      <c r="DZ305" s="235"/>
      <c r="EA305" s="235"/>
      <c r="EB305" s="235"/>
      <c r="EC305" s="235"/>
      <c r="ED305" s="235"/>
      <c r="EE305" s="235"/>
      <c r="EF305" s="235"/>
      <c r="EG305" s="235"/>
      <c r="EH305" s="235"/>
      <c r="EI305" s="235"/>
      <c r="EJ305" s="235"/>
      <c r="EK305" s="235"/>
      <c r="EL305" s="235"/>
      <c r="EM305" s="235"/>
      <c r="EN305" s="235"/>
      <c r="EO305" s="235"/>
      <c r="EP305" s="235"/>
      <c r="EQ305" s="235"/>
      <c r="ER305" s="235"/>
      <c r="ES305" s="235"/>
      <c r="ET305" s="235"/>
      <c r="EU305" s="235"/>
      <c r="EV305" s="235"/>
      <c r="EW305" s="235"/>
      <c r="EX305" s="235"/>
      <c r="EY305" s="235"/>
      <c r="EZ305" s="235"/>
      <c r="FA305" s="235"/>
      <c r="FB305" s="235"/>
      <c r="FC305" s="235"/>
      <c r="FD305" s="235"/>
      <c r="FE305" s="235"/>
      <c r="FF305" s="235"/>
      <c r="FG305" s="235"/>
      <c r="FH305" s="235"/>
      <c r="FI305" s="235"/>
      <c r="FJ305" s="235"/>
      <c r="FK305" s="235"/>
      <c r="FL305" s="235"/>
      <c r="FM305" s="235"/>
      <c r="FN305" s="235"/>
      <c r="FO305" s="235"/>
      <c r="FP305" s="235"/>
      <c r="FQ305" s="235"/>
      <c r="FR305" s="235"/>
      <c r="FS305" s="235"/>
      <c r="FT305" s="235"/>
      <c r="FU305" s="235"/>
      <c r="FV305" s="235"/>
      <c r="FW305" s="235"/>
      <c r="FX305" s="235"/>
      <c r="FY305" s="235"/>
      <c r="FZ305" s="235"/>
      <c r="GA305" s="235"/>
      <c r="GB305" s="235"/>
      <c r="GC305" s="235"/>
      <c r="GD305" s="235"/>
      <c r="GE305" s="235"/>
      <c r="GF305" s="235"/>
      <c r="GG305" s="235"/>
      <c r="GH305" s="235"/>
      <c r="GI305" s="235"/>
      <c r="GJ305" s="235"/>
      <c r="GK305" s="235"/>
      <c r="GL305" s="235"/>
      <c r="GM305" s="235"/>
      <c r="GN305" s="235"/>
      <c r="GO305" s="235"/>
      <c r="GP305" s="235"/>
      <c r="GQ305" s="235"/>
      <c r="GR305" s="235"/>
      <c r="GS305" s="235"/>
      <c r="GT305" s="235"/>
      <c r="GU305" s="235"/>
      <c r="GV305" s="235"/>
      <c r="GW305" s="235"/>
      <c r="GX305" s="235"/>
      <c r="GY305" s="235"/>
      <c r="GZ305" s="235"/>
      <c r="HA305" s="235"/>
      <c r="HB305" s="235"/>
      <c r="HC305" s="235"/>
      <c r="HD305" s="235"/>
      <c r="HE305" s="235"/>
      <c r="HF305" s="235"/>
      <c r="HG305" s="235"/>
      <c r="HH305" s="235"/>
      <c r="HI305" s="235"/>
      <c r="HJ305" s="235"/>
      <c r="HK305" s="235"/>
      <c r="HL305" s="235"/>
      <c r="HM305" s="235"/>
      <c r="HN305" s="235"/>
      <c r="HO305" s="235"/>
      <c r="HP305" s="235"/>
      <c r="HQ305" s="235"/>
    </row>
    <row r="306" spans="8:225">
      <c r="H306" s="235"/>
      <c r="I306" s="235"/>
      <c r="J306" s="235"/>
      <c r="K306" s="235"/>
      <c r="L306" s="235"/>
      <c r="M306" s="235"/>
      <c r="N306" s="235"/>
      <c r="O306" s="235"/>
      <c r="P306" s="235"/>
      <c r="Q306" s="235"/>
      <c r="R306" s="235"/>
      <c r="S306" s="235"/>
      <c r="T306" s="235"/>
      <c r="U306" s="235"/>
      <c r="V306" s="235"/>
      <c r="W306" s="235"/>
      <c r="X306" s="235"/>
      <c r="Y306" s="235"/>
      <c r="Z306" s="235"/>
      <c r="AA306" s="235"/>
      <c r="AB306" s="235"/>
      <c r="AC306" s="235"/>
      <c r="AD306" s="235"/>
      <c r="AE306" s="235"/>
      <c r="AF306" s="235"/>
      <c r="AG306" s="235"/>
      <c r="AH306" s="235"/>
      <c r="AI306" s="235"/>
      <c r="AJ306" s="235"/>
      <c r="AK306" s="235"/>
      <c r="AL306" s="235"/>
      <c r="AM306" s="235"/>
      <c r="AN306" s="235"/>
      <c r="AO306" s="235"/>
      <c r="AP306" s="235"/>
      <c r="AQ306" s="235"/>
      <c r="AR306" s="235"/>
      <c r="AS306" s="235"/>
      <c r="AT306" s="235"/>
      <c r="AU306" s="235"/>
      <c r="AV306" s="235"/>
      <c r="AW306" s="235"/>
      <c r="AX306" s="235"/>
      <c r="AY306" s="235"/>
      <c r="AZ306" s="235"/>
      <c r="BA306" s="235"/>
      <c r="BB306" s="235"/>
      <c r="BC306" s="235"/>
      <c r="BD306" s="235"/>
      <c r="BE306" s="235"/>
      <c r="BF306" s="235"/>
      <c r="BG306" s="235"/>
      <c r="BH306" s="235"/>
      <c r="BI306" s="235"/>
      <c r="BJ306" s="235"/>
      <c r="BK306" s="235"/>
      <c r="BL306" s="235"/>
      <c r="BM306" s="235"/>
      <c r="BN306" s="235"/>
      <c r="BO306" s="235"/>
      <c r="BP306" s="235"/>
      <c r="BQ306" s="235"/>
      <c r="BR306" s="235"/>
      <c r="BS306" s="235"/>
      <c r="BT306" s="235"/>
      <c r="BU306" s="235"/>
      <c r="BV306" s="235"/>
      <c r="BW306" s="235"/>
      <c r="BX306" s="235"/>
      <c r="BY306" s="235"/>
      <c r="BZ306" s="235"/>
      <c r="CA306" s="235"/>
      <c r="CB306" s="235"/>
      <c r="CC306" s="235"/>
      <c r="CD306" s="235"/>
      <c r="CE306" s="235"/>
      <c r="CF306" s="235"/>
      <c r="CG306" s="235"/>
      <c r="CH306" s="235"/>
      <c r="CI306" s="235"/>
      <c r="CJ306" s="235"/>
      <c r="CK306" s="235"/>
      <c r="CL306" s="235"/>
      <c r="CM306" s="235"/>
      <c r="CN306" s="235"/>
      <c r="CO306" s="235"/>
      <c r="CP306" s="235"/>
      <c r="CQ306" s="235"/>
      <c r="CR306" s="235"/>
      <c r="CS306" s="235"/>
      <c r="CT306" s="235"/>
      <c r="CU306" s="235"/>
      <c r="CV306" s="235"/>
      <c r="CW306" s="235"/>
      <c r="CX306" s="235"/>
      <c r="CY306" s="235"/>
      <c r="CZ306" s="235"/>
      <c r="DA306" s="235"/>
      <c r="DB306" s="235"/>
      <c r="DC306" s="235"/>
      <c r="DD306" s="235"/>
      <c r="DE306" s="235"/>
      <c r="DF306" s="235"/>
      <c r="DG306" s="235"/>
      <c r="DH306" s="235"/>
      <c r="DI306" s="235"/>
      <c r="DJ306" s="235"/>
      <c r="DK306" s="235"/>
      <c r="DL306" s="235"/>
      <c r="DM306" s="235"/>
      <c r="DN306" s="235"/>
      <c r="DO306" s="235"/>
      <c r="DP306" s="235"/>
      <c r="DQ306" s="235"/>
      <c r="DR306" s="235"/>
      <c r="DS306" s="235"/>
      <c r="DT306" s="235"/>
      <c r="DU306" s="235"/>
      <c r="DV306" s="235"/>
      <c r="DW306" s="235"/>
      <c r="DX306" s="235"/>
      <c r="DY306" s="235"/>
      <c r="DZ306" s="235"/>
      <c r="EA306" s="235"/>
      <c r="EB306" s="235"/>
      <c r="EC306" s="235"/>
      <c r="ED306" s="235"/>
      <c r="EE306" s="235"/>
      <c r="EF306" s="235"/>
      <c r="EG306" s="235"/>
      <c r="EH306" s="235"/>
      <c r="EI306" s="235"/>
      <c r="EJ306" s="235"/>
      <c r="EK306" s="235"/>
      <c r="EL306" s="235"/>
      <c r="EM306" s="235"/>
      <c r="EN306" s="235"/>
      <c r="EO306" s="235"/>
      <c r="EP306" s="235"/>
      <c r="EQ306" s="235"/>
      <c r="ER306" s="235"/>
      <c r="ES306" s="235"/>
      <c r="ET306" s="235"/>
      <c r="EU306" s="235"/>
      <c r="EV306" s="235"/>
      <c r="EW306" s="235"/>
      <c r="EX306" s="235"/>
      <c r="EY306" s="235"/>
      <c r="EZ306" s="235"/>
      <c r="FA306" s="235"/>
      <c r="FB306" s="235"/>
      <c r="FC306" s="235"/>
      <c r="FD306" s="235"/>
      <c r="FE306" s="235"/>
      <c r="FF306" s="235"/>
      <c r="FG306" s="235"/>
      <c r="FH306" s="235"/>
      <c r="FI306" s="235"/>
      <c r="FJ306" s="235"/>
      <c r="FK306" s="235"/>
      <c r="FL306" s="235"/>
      <c r="FM306" s="235"/>
      <c r="FN306" s="235"/>
      <c r="FO306" s="235"/>
      <c r="FP306" s="235"/>
      <c r="FQ306" s="235"/>
      <c r="FR306" s="235"/>
      <c r="FS306" s="235"/>
      <c r="FT306" s="235"/>
      <c r="FU306" s="235"/>
      <c r="FV306" s="235"/>
      <c r="FW306" s="235"/>
      <c r="FX306" s="235"/>
      <c r="FY306" s="235"/>
      <c r="FZ306" s="235"/>
      <c r="GA306" s="235"/>
      <c r="GB306" s="235"/>
      <c r="GC306" s="235"/>
      <c r="GD306" s="235"/>
      <c r="GE306" s="235"/>
      <c r="GF306" s="235"/>
      <c r="GG306" s="235"/>
      <c r="GH306" s="235"/>
      <c r="GI306" s="235"/>
      <c r="GJ306" s="235"/>
      <c r="GK306" s="235"/>
      <c r="GL306" s="235"/>
      <c r="GM306" s="235"/>
      <c r="GN306" s="235"/>
      <c r="GO306" s="235"/>
      <c r="GP306" s="235"/>
      <c r="GQ306" s="235"/>
      <c r="GR306" s="235"/>
      <c r="GS306" s="235"/>
      <c r="GT306" s="235"/>
      <c r="GU306" s="235"/>
      <c r="GV306" s="235"/>
      <c r="GW306" s="235"/>
      <c r="GX306" s="235"/>
      <c r="GY306" s="235"/>
      <c r="GZ306" s="235"/>
      <c r="HA306" s="235"/>
      <c r="HB306" s="235"/>
      <c r="HC306" s="235"/>
      <c r="HD306" s="235"/>
      <c r="HE306" s="235"/>
      <c r="HF306" s="235"/>
      <c r="HG306" s="235"/>
      <c r="HH306" s="235"/>
      <c r="HI306" s="235"/>
      <c r="HJ306" s="235"/>
      <c r="HK306" s="235"/>
      <c r="HL306" s="235"/>
      <c r="HM306" s="235"/>
      <c r="HN306" s="235"/>
      <c r="HO306" s="235"/>
      <c r="HP306" s="235"/>
      <c r="HQ306" s="235"/>
    </row>
    <row r="307" spans="8:225">
      <c r="H307" s="235"/>
      <c r="I307" s="235"/>
      <c r="J307" s="235"/>
      <c r="K307" s="235"/>
      <c r="L307" s="235"/>
      <c r="M307" s="235"/>
      <c r="N307" s="235"/>
      <c r="O307" s="235"/>
      <c r="P307" s="235"/>
      <c r="Q307" s="235"/>
      <c r="R307" s="235"/>
      <c r="S307" s="235"/>
      <c r="T307" s="235"/>
      <c r="U307" s="235"/>
      <c r="V307" s="235"/>
      <c r="W307" s="235"/>
      <c r="X307" s="235"/>
      <c r="Y307" s="235"/>
      <c r="Z307" s="235"/>
      <c r="AA307" s="235"/>
      <c r="AB307" s="235"/>
      <c r="AC307" s="235"/>
      <c r="AD307" s="235"/>
      <c r="AE307" s="235"/>
      <c r="AF307" s="235"/>
      <c r="AG307" s="235"/>
      <c r="AH307" s="235"/>
      <c r="AI307" s="235"/>
      <c r="AJ307" s="235"/>
      <c r="AK307" s="235"/>
      <c r="AL307" s="235"/>
      <c r="AM307" s="235"/>
      <c r="AN307" s="235"/>
      <c r="AO307" s="235"/>
      <c r="AP307" s="235"/>
      <c r="AQ307" s="235"/>
      <c r="AR307" s="235"/>
      <c r="AS307" s="235"/>
      <c r="AT307" s="235"/>
      <c r="AU307" s="235"/>
      <c r="AV307" s="235"/>
      <c r="AW307" s="235"/>
      <c r="AX307" s="235"/>
      <c r="AY307" s="235"/>
      <c r="AZ307" s="235"/>
      <c r="BA307" s="235"/>
      <c r="BB307" s="235"/>
      <c r="BC307" s="235"/>
      <c r="BD307" s="235"/>
      <c r="BE307" s="235"/>
      <c r="BF307" s="235"/>
      <c r="BG307" s="235"/>
      <c r="BH307" s="235"/>
      <c r="BI307" s="235"/>
      <c r="BJ307" s="235"/>
      <c r="BK307" s="235"/>
      <c r="BL307" s="235"/>
      <c r="BM307" s="235"/>
      <c r="BN307" s="235"/>
      <c r="BO307" s="235"/>
      <c r="BP307" s="235"/>
      <c r="BQ307" s="235"/>
      <c r="BR307" s="235"/>
      <c r="BS307" s="235"/>
      <c r="BT307" s="235"/>
      <c r="BU307" s="235"/>
      <c r="BV307" s="235"/>
      <c r="BW307" s="235"/>
      <c r="BX307" s="235"/>
      <c r="BY307" s="235"/>
      <c r="BZ307" s="235"/>
      <c r="CA307" s="235"/>
      <c r="CB307" s="235"/>
      <c r="CC307" s="235"/>
      <c r="CD307" s="235"/>
      <c r="CE307" s="235"/>
      <c r="CF307" s="235"/>
      <c r="CG307" s="235"/>
      <c r="CH307" s="235"/>
      <c r="CI307" s="235"/>
      <c r="CJ307" s="235"/>
      <c r="CK307" s="235"/>
      <c r="CL307" s="235"/>
      <c r="CM307" s="235"/>
      <c r="CN307" s="235"/>
      <c r="CO307" s="235"/>
      <c r="CP307" s="235"/>
      <c r="CQ307" s="235"/>
      <c r="CR307" s="235"/>
      <c r="CS307" s="235"/>
      <c r="CT307" s="235"/>
      <c r="CU307" s="235"/>
      <c r="CV307" s="235"/>
      <c r="CW307" s="235"/>
      <c r="CX307" s="235"/>
      <c r="CY307" s="235"/>
      <c r="CZ307" s="235"/>
      <c r="DA307" s="235"/>
      <c r="DB307" s="235"/>
      <c r="DC307" s="235"/>
      <c r="DD307" s="235"/>
      <c r="DE307" s="235"/>
      <c r="DF307" s="235"/>
      <c r="DG307" s="235"/>
      <c r="DH307" s="235"/>
      <c r="DI307" s="235"/>
      <c r="DJ307" s="235"/>
      <c r="DK307" s="235"/>
      <c r="DL307" s="235"/>
      <c r="DM307" s="235"/>
      <c r="DN307" s="235"/>
      <c r="DO307" s="235"/>
      <c r="DP307" s="235"/>
      <c r="DQ307" s="235"/>
      <c r="DR307" s="235"/>
      <c r="DS307" s="235"/>
      <c r="DT307" s="235"/>
      <c r="DU307" s="235"/>
      <c r="DV307" s="235"/>
      <c r="DW307" s="235"/>
      <c r="DX307" s="235"/>
      <c r="DY307" s="235"/>
      <c r="DZ307" s="235"/>
      <c r="EA307" s="235"/>
      <c r="EB307" s="235"/>
      <c r="EC307" s="235"/>
      <c r="ED307" s="235"/>
      <c r="EE307" s="235"/>
      <c r="EF307" s="235"/>
      <c r="EG307" s="235"/>
      <c r="EH307" s="235"/>
      <c r="EI307" s="235"/>
      <c r="EJ307" s="235"/>
      <c r="EK307" s="235"/>
      <c r="EL307" s="235"/>
      <c r="EM307" s="235"/>
      <c r="EN307" s="235"/>
      <c r="EO307" s="235"/>
      <c r="EP307" s="235"/>
      <c r="EQ307" s="235"/>
      <c r="ER307" s="235"/>
      <c r="ES307" s="235"/>
      <c r="ET307" s="235"/>
      <c r="EU307" s="235"/>
      <c r="EV307" s="235"/>
      <c r="EW307" s="235"/>
      <c r="EX307" s="235"/>
      <c r="EY307" s="235"/>
      <c r="EZ307" s="235"/>
      <c r="FA307" s="235"/>
      <c r="FB307" s="235"/>
      <c r="FC307" s="235"/>
      <c r="FD307" s="235"/>
      <c r="FE307" s="235"/>
      <c r="FF307" s="235"/>
      <c r="FG307" s="235"/>
      <c r="FH307" s="235"/>
      <c r="FI307" s="235"/>
      <c r="FJ307" s="235"/>
      <c r="FK307" s="235"/>
      <c r="FL307" s="235"/>
      <c r="FM307" s="235"/>
      <c r="FN307" s="235"/>
      <c r="FO307" s="235"/>
      <c r="FP307" s="235"/>
      <c r="FQ307" s="235"/>
      <c r="FR307" s="235"/>
      <c r="FS307" s="235"/>
      <c r="FT307" s="235"/>
      <c r="FU307" s="235"/>
      <c r="FV307" s="235"/>
      <c r="FW307" s="235"/>
      <c r="FX307" s="235"/>
      <c r="FY307" s="235"/>
      <c r="FZ307" s="235"/>
      <c r="GA307" s="235"/>
      <c r="GB307" s="235"/>
      <c r="GC307" s="235"/>
      <c r="GD307" s="235"/>
      <c r="GE307" s="235"/>
      <c r="GF307" s="235"/>
      <c r="GG307" s="235"/>
      <c r="GH307" s="235"/>
      <c r="GI307" s="235"/>
      <c r="GJ307" s="235"/>
      <c r="GK307" s="235"/>
      <c r="GL307" s="235"/>
      <c r="GM307" s="235"/>
      <c r="GN307" s="235"/>
      <c r="GO307" s="235"/>
      <c r="GP307" s="235"/>
      <c r="GQ307" s="235"/>
      <c r="GR307" s="235"/>
      <c r="GS307" s="235"/>
      <c r="GT307" s="235"/>
      <c r="GU307" s="235"/>
      <c r="GV307" s="235"/>
      <c r="GW307" s="235"/>
      <c r="GX307" s="235"/>
      <c r="GY307" s="235"/>
      <c r="GZ307" s="235"/>
      <c r="HA307" s="235"/>
      <c r="HB307" s="235"/>
      <c r="HC307" s="235"/>
      <c r="HD307" s="235"/>
      <c r="HE307" s="235"/>
      <c r="HF307" s="235"/>
      <c r="HG307" s="235"/>
      <c r="HH307" s="235"/>
      <c r="HI307" s="235"/>
      <c r="HJ307" s="235"/>
      <c r="HK307" s="235"/>
      <c r="HL307" s="235"/>
      <c r="HM307" s="235"/>
      <c r="HN307" s="235"/>
      <c r="HO307" s="235"/>
      <c r="HP307" s="235"/>
      <c r="HQ307" s="235"/>
    </row>
    <row r="308" spans="8:225">
      <c r="H308" s="235"/>
      <c r="I308" s="235"/>
      <c r="J308" s="235"/>
      <c r="K308" s="235"/>
      <c r="L308" s="235"/>
      <c r="M308" s="235"/>
      <c r="N308" s="235"/>
      <c r="O308" s="235"/>
      <c r="P308" s="235"/>
      <c r="Q308" s="235"/>
      <c r="R308" s="235"/>
      <c r="S308" s="235"/>
      <c r="T308" s="235"/>
      <c r="U308" s="235"/>
      <c r="V308" s="235"/>
      <c r="W308" s="235"/>
      <c r="X308" s="235"/>
      <c r="Y308" s="235"/>
      <c r="Z308" s="235"/>
      <c r="AA308" s="235"/>
      <c r="AB308" s="235"/>
      <c r="AC308" s="235"/>
      <c r="AD308" s="235"/>
      <c r="AE308" s="235"/>
      <c r="AF308" s="235"/>
      <c r="AG308" s="235"/>
      <c r="AH308" s="235"/>
      <c r="AI308" s="235"/>
      <c r="AJ308" s="235"/>
      <c r="AK308" s="235"/>
      <c r="AL308" s="235"/>
      <c r="AM308" s="235"/>
      <c r="AN308" s="235"/>
      <c r="AO308" s="235"/>
      <c r="AP308" s="235"/>
      <c r="AQ308" s="235"/>
      <c r="AR308" s="235"/>
      <c r="AS308" s="235"/>
      <c r="AT308" s="235"/>
      <c r="AU308" s="235"/>
      <c r="AV308" s="235"/>
      <c r="AW308" s="235"/>
      <c r="AX308" s="235"/>
      <c r="AY308" s="235"/>
      <c r="AZ308" s="235"/>
      <c r="BA308" s="235"/>
      <c r="BB308" s="235"/>
      <c r="BC308" s="235"/>
      <c r="BD308" s="235"/>
      <c r="BE308" s="235"/>
      <c r="BF308" s="235"/>
      <c r="BG308" s="235"/>
      <c r="BH308" s="235"/>
      <c r="BI308" s="235"/>
      <c r="BJ308" s="235"/>
      <c r="BK308" s="235"/>
      <c r="BL308" s="235"/>
      <c r="BM308" s="235"/>
      <c r="BN308" s="235"/>
      <c r="BO308" s="235"/>
      <c r="BP308" s="235"/>
      <c r="BQ308" s="235"/>
      <c r="BR308" s="235"/>
      <c r="BS308" s="235"/>
      <c r="BT308" s="235"/>
      <c r="BU308" s="235"/>
      <c r="BV308" s="235"/>
      <c r="BW308" s="235"/>
      <c r="BX308" s="235"/>
      <c r="BY308" s="235"/>
      <c r="BZ308" s="235"/>
      <c r="CA308" s="235"/>
      <c r="CB308" s="235"/>
      <c r="CC308" s="235"/>
      <c r="CD308" s="235"/>
      <c r="CE308" s="235"/>
      <c r="CF308" s="235"/>
      <c r="CG308" s="235"/>
      <c r="CH308" s="235"/>
      <c r="CI308" s="235"/>
      <c r="CJ308" s="235"/>
      <c r="CK308" s="235"/>
      <c r="CL308" s="235"/>
      <c r="CM308" s="235"/>
      <c r="CN308" s="235"/>
      <c r="CO308" s="235"/>
      <c r="CP308" s="235"/>
      <c r="CQ308" s="235"/>
      <c r="CR308" s="235"/>
      <c r="CS308" s="235"/>
      <c r="CT308" s="235"/>
      <c r="CU308" s="235"/>
      <c r="CV308" s="235"/>
      <c r="CW308" s="235"/>
      <c r="CX308" s="235"/>
      <c r="CY308" s="235"/>
      <c r="CZ308" s="235"/>
      <c r="DA308" s="235"/>
      <c r="DB308" s="235"/>
      <c r="DC308" s="235"/>
      <c r="DD308" s="235"/>
      <c r="DE308" s="235"/>
      <c r="DF308" s="235"/>
      <c r="DG308" s="235"/>
      <c r="DH308" s="235"/>
      <c r="DI308" s="235"/>
      <c r="DJ308" s="235"/>
      <c r="DK308" s="235"/>
      <c r="DL308" s="235"/>
      <c r="DM308" s="235"/>
      <c r="DN308" s="235"/>
      <c r="DO308" s="235"/>
      <c r="DP308" s="235"/>
      <c r="DQ308" s="235"/>
      <c r="DR308" s="235"/>
      <c r="DS308" s="235"/>
      <c r="DT308" s="235"/>
      <c r="DU308" s="235"/>
      <c r="DV308" s="235"/>
      <c r="DW308" s="235"/>
      <c r="DX308" s="235"/>
      <c r="DY308" s="235"/>
      <c r="DZ308" s="235"/>
      <c r="EA308" s="235"/>
      <c r="EB308" s="235"/>
      <c r="EC308" s="235"/>
      <c r="ED308" s="235"/>
      <c r="EE308" s="235"/>
      <c r="EF308" s="235"/>
      <c r="EG308" s="235"/>
      <c r="EH308" s="235"/>
      <c r="EI308" s="235"/>
      <c r="EJ308" s="235"/>
      <c r="EK308" s="235"/>
      <c r="EL308" s="235"/>
      <c r="EM308" s="235"/>
      <c r="EN308" s="235"/>
      <c r="EO308" s="235"/>
      <c r="EP308" s="235"/>
      <c r="EQ308" s="235"/>
      <c r="ER308" s="235"/>
      <c r="ES308" s="235"/>
      <c r="ET308" s="235"/>
      <c r="EU308" s="235"/>
      <c r="EV308" s="235"/>
      <c r="EW308" s="235"/>
      <c r="EX308" s="235"/>
      <c r="EY308" s="235"/>
      <c r="EZ308" s="235"/>
      <c r="FA308" s="235"/>
      <c r="FB308" s="235"/>
      <c r="FC308" s="235"/>
      <c r="FD308" s="235"/>
      <c r="FE308" s="235"/>
      <c r="FF308" s="235"/>
      <c r="FG308" s="235"/>
      <c r="FH308" s="235"/>
      <c r="FI308" s="235"/>
      <c r="FJ308" s="235"/>
      <c r="FK308" s="235"/>
      <c r="FL308" s="235"/>
      <c r="FM308" s="235"/>
      <c r="FN308" s="235"/>
      <c r="FO308" s="235"/>
      <c r="FP308" s="235"/>
      <c r="FQ308" s="235"/>
      <c r="FR308" s="235"/>
      <c r="FS308" s="235"/>
      <c r="FT308" s="235"/>
      <c r="FU308" s="235"/>
      <c r="FV308" s="235"/>
      <c r="FW308" s="235"/>
      <c r="FX308" s="235"/>
      <c r="FY308" s="235"/>
      <c r="FZ308" s="235"/>
      <c r="GA308" s="235"/>
      <c r="GB308" s="235"/>
      <c r="GC308" s="235"/>
      <c r="GD308" s="235"/>
      <c r="GE308" s="235"/>
      <c r="GF308" s="235"/>
      <c r="GG308" s="235"/>
      <c r="GH308" s="235"/>
      <c r="GI308" s="235"/>
      <c r="GJ308" s="235"/>
      <c r="GK308" s="235"/>
      <c r="GL308" s="235"/>
      <c r="GM308" s="235"/>
      <c r="GN308" s="235"/>
      <c r="GO308" s="235"/>
      <c r="GP308" s="235"/>
      <c r="GQ308" s="235"/>
      <c r="GR308" s="235"/>
      <c r="GS308" s="235"/>
      <c r="GT308" s="235"/>
      <c r="GU308" s="235"/>
      <c r="GV308" s="235"/>
      <c r="GW308" s="235"/>
      <c r="GX308" s="235"/>
      <c r="GY308" s="235"/>
      <c r="GZ308" s="235"/>
      <c r="HA308" s="235"/>
      <c r="HB308" s="235"/>
      <c r="HC308" s="235"/>
      <c r="HD308" s="235"/>
      <c r="HE308" s="235"/>
      <c r="HF308" s="235"/>
      <c r="HG308" s="235"/>
      <c r="HH308" s="235"/>
      <c r="HI308" s="235"/>
      <c r="HJ308" s="235"/>
      <c r="HK308" s="235"/>
      <c r="HL308" s="235"/>
      <c r="HM308" s="235"/>
      <c r="HN308" s="235"/>
      <c r="HO308" s="235"/>
      <c r="HP308" s="235"/>
      <c r="HQ308" s="235"/>
    </row>
    <row r="309" spans="8:225">
      <c r="H309" s="235"/>
      <c r="I309" s="235"/>
      <c r="J309" s="235"/>
      <c r="K309" s="235"/>
      <c r="L309" s="235"/>
      <c r="M309" s="235"/>
      <c r="N309" s="235"/>
      <c r="O309" s="235"/>
      <c r="P309" s="235"/>
      <c r="Q309" s="235"/>
      <c r="R309" s="235"/>
      <c r="S309" s="235"/>
      <c r="T309" s="235"/>
      <c r="U309" s="235"/>
      <c r="V309" s="235"/>
      <c r="W309" s="235"/>
      <c r="X309" s="235"/>
      <c r="Y309" s="235"/>
      <c r="Z309" s="235"/>
      <c r="AA309" s="235"/>
      <c r="AB309" s="235"/>
      <c r="AC309" s="235"/>
      <c r="AD309" s="235"/>
      <c r="AE309" s="235"/>
      <c r="AF309" s="235"/>
      <c r="AG309" s="235"/>
      <c r="AH309" s="235"/>
      <c r="AI309" s="235"/>
      <c r="AJ309" s="235"/>
      <c r="AK309" s="235"/>
      <c r="AL309" s="235"/>
      <c r="AM309" s="235"/>
      <c r="AN309" s="235"/>
      <c r="AO309" s="235"/>
      <c r="AP309" s="235"/>
      <c r="AQ309" s="235"/>
      <c r="AR309" s="235"/>
      <c r="AS309" s="235"/>
      <c r="AT309" s="235"/>
      <c r="AU309" s="235"/>
      <c r="AV309" s="235"/>
      <c r="AW309" s="235"/>
      <c r="AX309" s="235"/>
      <c r="AY309" s="235"/>
      <c r="AZ309" s="235"/>
      <c r="BA309" s="235"/>
      <c r="BB309" s="235"/>
      <c r="BC309" s="235"/>
      <c r="BD309" s="235"/>
      <c r="BE309" s="235"/>
      <c r="BF309" s="235"/>
      <c r="BG309" s="235"/>
      <c r="BH309" s="235"/>
      <c r="BI309" s="235"/>
      <c r="BJ309" s="235"/>
      <c r="BK309" s="235"/>
      <c r="BL309" s="235"/>
      <c r="BM309" s="235"/>
      <c r="BN309" s="235"/>
      <c r="BO309" s="235"/>
      <c r="BP309" s="235"/>
      <c r="BQ309" s="235"/>
      <c r="BR309" s="235"/>
      <c r="BS309" s="235"/>
      <c r="BT309" s="235"/>
      <c r="BU309" s="235"/>
      <c r="BV309" s="235"/>
      <c r="BW309" s="235"/>
      <c r="BX309" s="235"/>
      <c r="BY309" s="235"/>
      <c r="BZ309" s="235"/>
      <c r="CA309" s="235"/>
      <c r="CB309" s="235"/>
      <c r="CC309" s="235"/>
      <c r="CD309" s="235"/>
      <c r="CE309" s="235"/>
      <c r="CF309" s="235"/>
      <c r="CG309" s="235"/>
      <c r="CH309" s="235"/>
      <c r="CI309" s="235"/>
      <c r="CJ309" s="235"/>
      <c r="CK309" s="235"/>
      <c r="CL309" s="235"/>
      <c r="CM309" s="235"/>
      <c r="CN309" s="235"/>
      <c r="CO309" s="235"/>
      <c r="CP309" s="235"/>
      <c r="CQ309" s="235"/>
      <c r="CR309" s="235"/>
      <c r="CS309" s="235"/>
      <c r="CT309" s="235"/>
      <c r="CU309" s="235"/>
      <c r="CV309" s="235"/>
      <c r="CW309" s="235"/>
      <c r="CX309" s="235"/>
      <c r="CY309" s="235"/>
      <c r="CZ309" s="235"/>
      <c r="DA309" s="235"/>
      <c r="DB309" s="235"/>
      <c r="DC309" s="235"/>
      <c r="DD309" s="235"/>
      <c r="DE309" s="235"/>
      <c r="DF309" s="235"/>
      <c r="DG309" s="235"/>
      <c r="DH309" s="235"/>
      <c r="DI309" s="235"/>
      <c r="DJ309" s="235"/>
      <c r="DK309" s="235"/>
      <c r="DL309" s="235"/>
      <c r="DM309" s="235"/>
      <c r="DN309" s="235"/>
      <c r="DO309" s="235"/>
      <c r="DP309" s="235"/>
      <c r="DQ309" s="235"/>
      <c r="DR309" s="235"/>
      <c r="DS309" s="235"/>
      <c r="DT309" s="235"/>
      <c r="DU309" s="235"/>
      <c r="DV309" s="235"/>
      <c r="DW309" s="235"/>
      <c r="DX309" s="235"/>
      <c r="DY309" s="235"/>
      <c r="DZ309" s="235"/>
      <c r="EA309" s="235"/>
      <c r="EB309" s="235"/>
      <c r="EC309" s="235"/>
      <c r="ED309" s="235"/>
      <c r="EE309" s="235"/>
      <c r="EF309" s="235"/>
      <c r="EG309" s="235"/>
      <c r="EH309" s="235"/>
      <c r="EI309" s="235"/>
      <c r="EJ309" s="235"/>
      <c r="EK309" s="235"/>
      <c r="EL309" s="235"/>
      <c r="EM309" s="235"/>
      <c r="EN309" s="235"/>
      <c r="EO309" s="235"/>
      <c r="EP309" s="235"/>
      <c r="EQ309" s="235"/>
      <c r="ER309" s="235"/>
      <c r="ES309" s="235"/>
      <c r="ET309" s="235"/>
      <c r="EU309" s="235"/>
      <c r="EV309" s="235"/>
      <c r="EW309" s="235"/>
      <c r="EX309" s="235"/>
      <c r="EY309" s="235"/>
      <c r="EZ309" s="235"/>
      <c r="FA309" s="235"/>
      <c r="FB309" s="235"/>
      <c r="FC309" s="235"/>
      <c r="FD309" s="235"/>
      <c r="FE309" s="235"/>
      <c r="FF309" s="235"/>
      <c r="FG309" s="235"/>
      <c r="FH309" s="235"/>
      <c r="FI309" s="235"/>
      <c r="FJ309" s="235"/>
      <c r="FK309" s="235"/>
      <c r="FL309" s="235"/>
      <c r="FM309" s="235"/>
      <c r="FN309" s="235"/>
      <c r="FO309" s="235"/>
      <c r="FP309" s="235"/>
      <c r="FQ309" s="235"/>
      <c r="FR309" s="235"/>
      <c r="FS309" s="235"/>
      <c r="FT309" s="235"/>
      <c r="FU309" s="235"/>
      <c r="FV309" s="235"/>
      <c r="FW309" s="235"/>
      <c r="FX309" s="235"/>
      <c r="FY309" s="235"/>
      <c r="FZ309" s="235"/>
      <c r="GA309" s="235"/>
      <c r="GB309" s="235"/>
      <c r="GC309" s="235"/>
      <c r="GD309" s="235"/>
      <c r="GE309" s="235"/>
      <c r="GF309" s="235"/>
      <c r="GG309" s="235"/>
      <c r="GH309" s="235"/>
      <c r="GI309" s="235"/>
      <c r="GJ309" s="235"/>
      <c r="GK309" s="235"/>
      <c r="GL309" s="235"/>
      <c r="GM309" s="235"/>
      <c r="GN309" s="235"/>
      <c r="GO309" s="235"/>
      <c r="GP309" s="235"/>
      <c r="GQ309" s="235"/>
      <c r="GR309" s="235"/>
      <c r="GS309" s="235"/>
      <c r="GT309" s="235"/>
      <c r="GU309" s="235"/>
      <c r="GV309" s="235"/>
      <c r="GW309" s="235"/>
      <c r="GX309" s="235"/>
      <c r="GY309" s="235"/>
      <c r="GZ309" s="235"/>
      <c r="HA309" s="235"/>
      <c r="HB309" s="235"/>
      <c r="HC309" s="235"/>
      <c r="HD309" s="235"/>
      <c r="HE309" s="235"/>
      <c r="HF309" s="235"/>
      <c r="HG309" s="235"/>
      <c r="HH309" s="235"/>
      <c r="HI309" s="235"/>
      <c r="HJ309" s="235"/>
      <c r="HK309" s="235"/>
      <c r="HL309" s="235"/>
      <c r="HM309" s="235"/>
      <c r="HN309" s="235"/>
      <c r="HO309" s="235"/>
      <c r="HP309" s="235"/>
      <c r="HQ309" s="235"/>
    </row>
    <row r="310" spans="8:225">
      <c r="H310" s="235"/>
      <c r="I310" s="235"/>
      <c r="J310" s="235"/>
      <c r="K310" s="235"/>
      <c r="L310" s="235"/>
      <c r="M310" s="235"/>
      <c r="N310" s="235"/>
      <c r="O310" s="235"/>
      <c r="P310" s="235"/>
      <c r="Q310" s="235"/>
      <c r="R310" s="235"/>
      <c r="S310" s="235"/>
      <c r="T310" s="235"/>
      <c r="U310" s="235"/>
      <c r="V310" s="235"/>
      <c r="W310" s="235"/>
      <c r="X310" s="235"/>
      <c r="Y310" s="235"/>
      <c r="Z310" s="235"/>
      <c r="AA310" s="235"/>
      <c r="AB310" s="235"/>
      <c r="AC310" s="235"/>
      <c r="AD310" s="235"/>
      <c r="AE310" s="235"/>
      <c r="AF310" s="235"/>
      <c r="AG310" s="235"/>
      <c r="AH310" s="235"/>
      <c r="AI310" s="235"/>
      <c r="AJ310" s="235"/>
      <c r="AK310" s="235"/>
      <c r="AL310" s="235"/>
      <c r="AM310" s="235"/>
      <c r="AN310" s="235"/>
      <c r="AO310" s="235"/>
      <c r="AP310" s="235"/>
      <c r="AQ310" s="235"/>
      <c r="AR310" s="235"/>
      <c r="AS310" s="235"/>
      <c r="AT310" s="235"/>
      <c r="AU310" s="235"/>
      <c r="AV310" s="235"/>
      <c r="AW310" s="235"/>
      <c r="AX310" s="235"/>
      <c r="AY310" s="235"/>
      <c r="AZ310" s="235"/>
      <c r="BA310" s="235"/>
      <c r="BB310" s="235"/>
      <c r="BC310" s="235"/>
      <c r="BD310" s="235"/>
      <c r="BE310" s="235"/>
      <c r="BF310" s="235"/>
      <c r="BG310" s="235"/>
      <c r="BH310" s="235"/>
      <c r="BI310" s="235"/>
      <c r="BJ310" s="235"/>
      <c r="BK310" s="235"/>
      <c r="BL310" s="235"/>
      <c r="BM310" s="235"/>
      <c r="BN310" s="235"/>
      <c r="BO310" s="235"/>
      <c r="BP310" s="235"/>
      <c r="BQ310" s="235"/>
      <c r="BR310" s="235"/>
      <c r="BS310" s="235"/>
      <c r="BT310" s="235"/>
      <c r="BU310" s="235"/>
      <c r="BV310" s="235"/>
      <c r="BW310" s="235"/>
      <c r="BX310" s="235"/>
      <c r="BY310" s="235"/>
      <c r="BZ310" s="235"/>
      <c r="CA310" s="235"/>
      <c r="CB310" s="235"/>
      <c r="CC310" s="235"/>
      <c r="CD310" s="235"/>
      <c r="CE310" s="235"/>
      <c r="CF310" s="235"/>
      <c r="CG310" s="235"/>
      <c r="CH310" s="235"/>
      <c r="CI310" s="235"/>
      <c r="CJ310" s="235"/>
      <c r="CK310" s="235"/>
      <c r="CL310" s="235"/>
      <c r="CM310" s="235"/>
      <c r="CN310" s="235"/>
      <c r="CO310" s="235"/>
      <c r="CP310" s="235"/>
      <c r="CQ310" s="235"/>
      <c r="CR310" s="235"/>
      <c r="CS310" s="235"/>
      <c r="CT310" s="235"/>
      <c r="CU310" s="235"/>
      <c r="CV310" s="235"/>
      <c r="CW310" s="235"/>
      <c r="CX310" s="235"/>
      <c r="CY310" s="235"/>
      <c r="CZ310" s="235"/>
      <c r="DA310" s="235"/>
      <c r="DB310" s="235"/>
      <c r="DC310" s="235"/>
      <c r="DD310" s="235"/>
      <c r="DE310" s="235"/>
      <c r="DF310" s="235"/>
      <c r="DG310" s="235"/>
      <c r="DH310" s="235"/>
      <c r="DI310" s="235"/>
      <c r="DJ310" s="235"/>
      <c r="DK310" s="235"/>
      <c r="DL310" s="235"/>
      <c r="DM310" s="235"/>
      <c r="DN310" s="235"/>
      <c r="DO310" s="235"/>
      <c r="DP310" s="235"/>
      <c r="DQ310" s="235"/>
      <c r="DR310" s="235"/>
      <c r="DS310" s="235"/>
      <c r="DT310" s="235"/>
      <c r="DU310" s="235"/>
      <c r="DV310" s="235"/>
      <c r="DW310" s="235"/>
      <c r="DX310" s="235"/>
      <c r="DY310" s="235"/>
      <c r="DZ310" s="235"/>
      <c r="EA310" s="235"/>
      <c r="EB310" s="235"/>
      <c r="EC310" s="235"/>
      <c r="ED310" s="235"/>
      <c r="EE310" s="235"/>
      <c r="EF310" s="235"/>
      <c r="EG310" s="235"/>
      <c r="EH310" s="235"/>
      <c r="EI310" s="235"/>
      <c r="EJ310" s="235"/>
      <c r="EK310" s="235"/>
      <c r="EL310" s="235"/>
      <c r="EM310" s="235"/>
      <c r="EN310" s="235"/>
      <c r="EO310" s="235"/>
      <c r="EP310" s="235"/>
      <c r="EQ310" s="235"/>
      <c r="ER310" s="235"/>
      <c r="ES310" s="235"/>
      <c r="ET310" s="235"/>
      <c r="EU310" s="235"/>
      <c r="EV310" s="235"/>
      <c r="EW310" s="235"/>
      <c r="EX310" s="235"/>
      <c r="EY310" s="235"/>
      <c r="EZ310" s="235"/>
      <c r="FA310" s="235"/>
      <c r="FB310" s="235"/>
      <c r="FC310" s="235"/>
      <c r="FD310" s="235"/>
      <c r="FE310" s="235"/>
      <c r="FF310" s="235"/>
      <c r="FG310" s="235"/>
      <c r="FH310" s="235"/>
      <c r="FI310" s="235"/>
      <c r="FJ310" s="235"/>
      <c r="FK310" s="235"/>
      <c r="FL310" s="235"/>
      <c r="FM310" s="235"/>
      <c r="FN310" s="235"/>
      <c r="FO310" s="235"/>
      <c r="FP310" s="235"/>
      <c r="FQ310" s="235"/>
      <c r="FR310" s="235"/>
      <c r="FS310" s="235"/>
      <c r="FT310" s="235"/>
      <c r="FU310" s="235"/>
      <c r="FV310" s="235"/>
      <c r="FW310" s="235"/>
      <c r="FX310" s="235"/>
      <c r="FY310" s="235"/>
      <c r="FZ310" s="235"/>
      <c r="GA310" s="235"/>
      <c r="GB310" s="235"/>
      <c r="GC310" s="235"/>
      <c r="GD310" s="235"/>
      <c r="GE310" s="235"/>
      <c r="GF310" s="235"/>
      <c r="GG310" s="235"/>
      <c r="GH310" s="235"/>
      <c r="GI310" s="235"/>
      <c r="GJ310" s="235"/>
      <c r="GK310" s="235"/>
      <c r="GL310" s="235"/>
      <c r="GM310" s="235"/>
      <c r="GN310" s="235"/>
      <c r="GO310" s="235"/>
      <c r="GP310" s="235"/>
      <c r="GQ310" s="235"/>
      <c r="GR310" s="235"/>
      <c r="GS310" s="235"/>
      <c r="GT310" s="235"/>
      <c r="GU310" s="235"/>
      <c r="GV310" s="235"/>
      <c r="GW310" s="235"/>
      <c r="GX310" s="235"/>
      <c r="GY310" s="235"/>
      <c r="GZ310" s="235"/>
      <c r="HA310" s="235"/>
      <c r="HB310" s="235"/>
      <c r="HC310" s="235"/>
      <c r="HD310" s="235"/>
      <c r="HE310" s="235"/>
      <c r="HF310" s="235"/>
      <c r="HG310" s="235"/>
      <c r="HH310" s="235"/>
      <c r="HI310" s="235"/>
      <c r="HJ310" s="235"/>
      <c r="HK310" s="235"/>
      <c r="HL310" s="235"/>
      <c r="HM310" s="235"/>
      <c r="HN310" s="235"/>
      <c r="HO310" s="235"/>
      <c r="HP310" s="235"/>
      <c r="HQ310" s="235"/>
    </row>
    <row r="311" spans="8:225">
      <c r="H311" s="235"/>
      <c r="I311" s="235"/>
      <c r="J311" s="235"/>
      <c r="K311" s="235"/>
      <c r="L311" s="235"/>
      <c r="M311" s="235"/>
      <c r="N311" s="235"/>
      <c r="O311" s="235"/>
      <c r="P311" s="235"/>
      <c r="Q311" s="235"/>
      <c r="R311" s="235"/>
      <c r="S311" s="235"/>
      <c r="T311" s="235"/>
      <c r="U311" s="235"/>
      <c r="V311" s="235"/>
      <c r="W311" s="235"/>
      <c r="X311" s="235"/>
      <c r="Y311" s="235"/>
      <c r="Z311" s="235"/>
      <c r="AA311" s="235"/>
      <c r="AB311" s="235"/>
      <c r="AC311" s="235"/>
      <c r="AD311" s="235"/>
      <c r="AE311" s="235"/>
      <c r="AF311" s="235"/>
      <c r="AG311" s="235"/>
      <c r="AH311" s="235"/>
      <c r="AI311" s="235"/>
      <c r="AJ311" s="235"/>
      <c r="AK311" s="235"/>
      <c r="AL311" s="235"/>
      <c r="AM311" s="235"/>
      <c r="AN311" s="235"/>
      <c r="AO311" s="235"/>
      <c r="AP311" s="235"/>
      <c r="AQ311" s="235"/>
      <c r="AR311" s="235"/>
      <c r="AS311" s="235"/>
      <c r="AT311" s="235"/>
      <c r="AU311" s="235"/>
      <c r="AV311" s="235"/>
      <c r="AW311" s="235"/>
      <c r="AX311" s="235"/>
      <c r="AY311" s="235"/>
      <c r="AZ311" s="235"/>
      <c r="BA311" s="235"/>
      <c r="BB311" s="235"/>
      <c r="BC311" s="235"/>
      <c r="BD311" s="235"/>
      <c r="BE311" s="235"/>
      <c r="BF311" s="235"/>
      <c r="BG311" s="235"/>
      <c r="BH311" s="235"/>
      <c r="BI311" s="235"/>
      <c r="BJ311" s="235"/>
      <c r="BK311" s="235"/>
      <c r="BL311" s="235"/>
      <c r="BM311" s="235"/>
      <c r="BN311" s="235"/>
      <c r="BO311" s="235"/>
      <c r="BP311" s="235"/>
      <c r="BQ311" s="235"/>
      <c r="BR311" s="235"/>
      <c r="BS311" s="235"/>
      <c r="BT311" s="235"/>
      <c r="BU311" s="235"/>
      <c r="BV311" s="235"/>
      <c r="BW311" s="235"/>
      <c r="BX311" s="235"/>
      <c r="BY311" s="235"/>
      <c r="BZ311" s="235"/>
      <c r="CA311" s="235"/>
      <c r="CB311" s="235"/>
      <c r="CC311" s="235"/>
      <c r="CD311" s="235"/>
      <c r="CE311" s="235"/>
      <c r="CF311" s="235"/>
      <c r="CG311" s="235"/>
      <c r="CH311" s="235"/>
      <c r="CI311" s="235"/>
      <c r="CJ311" s="235"/>
      <c r="CK311" s="235"/>
      <c r="CL311" s="235"/>
      <c r="CM311" s="235"/>
      <c r="CN311" s="235"/>
      <c r="CO311" s="235"/>
      <c r="CP311" s="235"/>
      <c r="CQ311" s="235"/>
      <c r="CR311" s="235"/>
      <c r="CS311" s="235"/>
      <c r="CT311" s="235"/>
      <c r="CU311" s="235"/>
      <c r="CV311" s="235"/>
      <c r="CW311" s="235"/>
      <c r="CX311" s="235"/>
      <c r="CY311" s="235"/>
      <c r="CZ311" s="235"/>
      <c r="DA311" s="235"/>
      <c r="DB311" s="235"/>
      <c r="DC311" s="235"/>
      <c r="DD311" s="235"/>
      <c r="DE311" s="235"/>
      <c r="DF311" s="235"/>
      <c r="DG311" s="235"/>
      <c r="DH311" s="235"/>
      <c r="DI311" s="235"/>
      <c r="DJ311" s="235"/>
      <c r="DK311" s="235"/>
      <c r="DL311" s="235"/>
      <c r="DM311" s="235"/>
      <c r="DN311" s="235"/>
      <c r="DO311" s="235"/>
      <c r="DP311" s="235"/>
      <c r="DQ311" s="235"/>
      <c r="DR311" s="235"/>
      <c r="DS311" s="235"/>
      <c r="DT311" s="235"/>
      <c r="DU311" s="235"/>
      <c r="DV311" s="235"/>
      <c r="DW311" s="235"/>
      <c r="DX311" s="235"/>
      <c r="DY311" s="235"/>
      <c r="DZ311" s="235"/>
      <c r="EA311" s="235"/>
      <c r="EB311" s="235"/>
      <c r="EC311" s="235"/>
      <c r="ED311" s="235"/>
      <c r="EE311" s="235"/>
      <c r="EF311" s="235"/>
      <c r="EG311" s="235"/>
      <c r="EH311" s="235"/>
      <c r="EI311" s="235"/>
      <c r="EJ311" s="235"/>
      <c r="EK311" s="235"/>
      <c r="EL311" s="235"/>
      <c r="EM311" s="235"/>
      <c r="EN311" s="235"/>
      <c r="EO311" s="235"/>
      <c r="EP311" s="235"/>
      <c r="EQ311" s="235"/>
      <c r="ER311" s="235"/>
      <c r="ES311" s="235"/>
      <c r="ET311" s="235"/>
      <c r="EU311" s="235"/>
      <c r="EV311" s="235"/>
      <c r="EW311" s="235"/>
      <c r="EX311" s="235"/>
      <c r="EY311" s="235"/>
      <c r="EZ311" s="235"/>
      <c r="FA311" s="235"/>
      <c r="FB311" s="235"/>
      <c r="FC311" s="235"/>
      <c r="FD311" s="235"/>
      <c r="FE311" s="235"/>
      <c r="FF311" s="235"/>
      <c r="FG311" s="235"/>
      <c r="FH311" s="235"/>
      <c r="FI311" s="235"/>
      <c r="FJ311" s="235"/>
      <c r="FK311" s="235"/>
      <c r="FL311" s="235"/>
      <c r="FM311" s="235"/>
      <c r="FN311" s="235"/>
      <c r="FO311" s="235"/>
      <c r="FP311" s="235"/>
      <c r="FQ311" s="235"/>
      <c r="FR311" s="235"/>
      <c r="FS311" s="235"/>
      <c r="FT311" s="235"/>
      <c r="FU311" s="235"/>
      <c r="FV311" s="235"/>
      <c r="FW311" s="235"/>
      <c r="FX311" s="235"/>
      <c r="FY311" s="235"/>
      <c r="FZ311" s="235"/>
      <c r="GA311" s="235"/>
      <c r="GB311" s="235"/>
      <c r="GC311" s="235"/>
      <c r="GD311" s="235"/>
      <c r="GE311" s="235"/>
      <c r="GF311" s="235"/>
      <c r="GG311" s="235"/>
      <c r="GH311" s="235"/>
      <c r="GI311" s="235"/>
      <c r="GJ311" s="235"/>
      <c r="GK311" s="235"/>
      <c r="GL311" s="235"/>
      <c r="GM311" s="235"/>
      <c r="GN311" s="235"/>
      <c r="GO311" s="235"/>
      <c r="GP311" s="235"/>
      <c r="GQ311" s="235"/>
      <c r="GR311" s="235"/>
      <c r="GS311" s="235"/>
      <c r="GT311" s="235"/>
      <c r="GU311" s="235"/>
      <c r="GV311" s="235"/>
      <c r="GW311" s="235"/>
      <c r="GX311" s="235"/>
      <c r="GY311" s="235"/>
      <c r="GZ311" s="235"/>
      <c r="HA311" s="235"/>
      <c r="HB311" s="235"/>
      <c r="HC311" s="235"/>
      <c r="HD311" s="235"/>
      <c r="HE311" s="235"/>
      <c r="HF311" s="235"/>
      <c r="HG311" s="235"/>
      <c r="HH311" s="235"/>
      <c r="HI311" s="235"/>
      <c r="HJ311" s="235"/>
      <c r="HK311" s="235"/>
      <c r="HL311" s="235"/>
      <c r="HM311" s="235"/>
      <c r="HN311" s="235"/>
      <c r="HO311" s="235"/>
      <c r="HP311" s="235"/>
      <c r="HQ311" s="235"/>
    </row>
    <row r="312" spans="8:225">
      <c r="H312" s="235"/>
      <c r="I312" s="235"/>
      <c r="J312" s="235"/>
      <c r="K312" s="235"/>
      <c r="L312" s="235"/>
      <c r="M312" s="235"/>
      <c r="N312" s="235"/>
      <c r="O312" s="235"/>
      <c r="P312" s="235"/>
      <c r="Q312" s="235"/>
      <c r="R312" s="235"/>
      <c r="S312" s="235"/>
      <c r="T312" s="235"/>
      <c r="U312" s="235"/>
      <c r="V312" s="235"/>
      <c r="W312" s="235"/>
      <c r="X312" s="235"/>
      <c r="Y312" s="235"/>
      <c r="Z312" s="235"/>
      <c r="AA312" s="235"/>
      <c r="AB312" s="235"/>
      <c r="AC312" s="235"/>
      <c r="AD312" s="235"/>
      <c r="AE312" s="235"/>
      <c r="AF312" s="235"/>
      <c r="AG312" s="235"/>
      <c r="AH312" s="235"/>
      <c r="AI312" s="235"/>
      <c r="AJ312" s="235"/>
      <c r="AK312" s="235"/>
      <c r="AL312" s="235"/>
      <c r="AM312" s="235"/>
      <c r="AN312" s="235"/>
      <c r="AO312" s="235"/>
      <c r="AP312" s="235"/>
      <c r="AQ312" s="235"/>
      <c r="AR312" s="235"/>
      <c r="AS312" s="235"/>
      <c r="AT312" s="235"/>
      <c r="AU312" s="235"/>
      <c r="AV312" s="235"/>
      <c r="AW312" s="235"/>
      <c r="AX312" s="235"/>
      <c r="AY312" s="235"/>
      <c r="AZ312" s="235"/>
      <c r="BA312" s="235"/>
      <c r="BB312" s="235"/>
      <c r="BC312" s="235"/>
      <c r="BD312" s="235"/>
      <c r="BE312" s="235"/>
      <c r="BF312" s="235"/>
      <c r="BG312" s="235"/>
      <c r="BH312" s="235"/>
      <c r="BI312" s="235"/>
      <c r="BJ312" s="235"/>
      <c r="BK312" s="235"/>
      <c r="BL312" s="235"/>
      <c r="BM312" s="235"/>
      <c r="BN312" s="235"/>
      <c r="BO312" s="235"/>
      <c r="BP312" s="235"/>
      <c r="BQ312" s="235"/>
      <c r="BR312" s="235"/>
      <c r="BS312" s="235"/>
      <c r="BT312" s="235"/>
      <c r="BU312" s="235"/>
      <c r="BV312" s="235"/>
      <c r="BW312" s="235"/>
      <c r="BX312" s="235"/>
      <c r="BY312" s="235"/>
      <c r="BZ312" s="235"/>
      <c r="CA312" s="235"/>
      <c r="CB312" s="235"/>
      <c r="CC312" s="235"/>
      <c r="CD312" s="235"/>
      <c r="CE312" s="235"/>
      <c r="CF312" s="235"/>
      <c r="CG312" s="235"/>
      <c r="CH312" s="235"/>
      <c r="CI312" s="235"/>
      <c r="CJ312" s="235"/>
      <c r="CK312" s="235"/>
      <c r="CL312" s="235"/>
      <c r="CM312" s="235"/>
      <c r="CN312" s="235"/>
      <c r="CO312" s="235"/>
      <c r="CP312" s="235"/>
      <c r="CQ312" s="235"/>
      <c r="CR312" s="235"/>
      <c r="CS312" s="235"/>
      <c r="CT312" s="235"/>
      <c r="CU312" s="235"/>
      <c r="CV312" s="235"/>
      <c r="CW312" s="235"/>
      <c r="CX312" s="235"/>
      <c r="CY312" s="235"/>
      <c r="CZ312" s="235"/>
      <c r="DA312" s="235"/>
      <c r="DB312" s="235"/>
      <c r="DC312" s="235"/>
      <c r="DD312" s="235"/>
      <c r="DE312" s="235"/>
      <c r="DF312" s="235"/>
      <c r="DG312" s="235"/>
      <c r="DH312" s="235"/>
      <c r="DI312" s="235"/>
      <c r="DJ312" s="235"/>
      <c r="DK312" s="235"/>
      <c r="DL312" s="235"/>
      <c r="DM312" s="235"/>
      <c r="DN312" s="235"/>
      <c r="DO312" s="235"/>
      <c r="DP312" s="235"/>
      <c r="DQ312" s="235"/>
      <c r="DR312" s="235"/>
      <c r="DS312" s="235"/>
      <c r="DT312" s="235"/>
      <c r="DU312" s="235"/>
      <c r="DV312" s="235"/>
      <c r="DW312" s="235"/>
      <c r="DX312" s="235"/>
      <c r="DY312" s="235"/>
      <c r="DZ312" s="235"/>
      <c r="EA312" s="235"/>
      <c r="EB312" s="235"/>
      <c r="EC312" s="235"/>
      <c r="ED312" s="235"/>
      <c r="EE312" s="235"/>
      <c r="EF312" s="235"/>
      <c r="EG312" s="235"/>
      <c r="EH312" s="235"/>
      <c r="EI312" s="235"/>
      <c r="EJ312" s="235"/>
      <c r="EK312" s="235"/>
      <c r="EL312" s="235"/>
      <c r="EM312" s="235"/>
      <c r="EN312" s="235"/>
      <c r="EO312" s="235"/>
      <c r="EP312" s="235"/>
      <c r="EQ312" s="235"/>
      <c r="ER312" s="235"/>
      <c r="ES312" s="235"/>
      <c r="ET312" s="235"/>
      <c r="EU312" s="235"/>
      <c r="EV312" s="235"/>
      <c r="EW312" s="235"/>
      <c r="EX312" s="235"/>
      <c r="EY312" s="235"/>
      <c r="EZ312" s="235"/>
      <c r="FA312" s="235"/>
      <c r="FB312" s="235"/>
      <c r="FC312" s="235"/>
      <c r="FD312" s="235"/>
      <c r="FE312" s="235"/>
      <c r="FF312" s="235"/>
      <c r="FG312" s="235"/>
      <c r="FH312" s="235"/>
      <c r="FI312" s="235"/>
      <c r="FJ312" s="235"/>
      <c r="FK312" s="235"/>
      <c r="FL312" s="235"/>
      <c r="FM312" s="235"/>
      <c r="FN312" s="235"/>
      <c r="FO312" s="235"/>
      <c r="FP312" s="235"/>
      <c r="FQ312" s="235"/>
      <c r="FR312" s="235"/>
      <c r="FS312" s="235"/>
      <c r="FT312" s="235"/>
      <c r="FU312" s="235"/>
      <c r="FV312" s="235"/>
      <c r="FW312" s="235"/>
      <c r="FX312" s="235"/>
      <c r="FY312" s="235"/>
      <c r="FZ312" s="235"/>
      <c r="GA312" s="235"/>
      <c r="GB312" s="235"/>
      <c r="GC312" s="235"/>
      <c r="GD312" s="235"/>
      <c r="GE312" s="235"/>
      <c r="GF312" s="235"/>
      <c r="GG312" s="235"/>
      <c r="GH312" s="235"/>
      <c r="GI312" s="235"/>
      <c r="GJ312" s="235"/>
      <c r="GK312" s="235"/>
      <c r="GL312" s="235"/>
      <c r="GM312" s="235"/>
      <c r="GN312" s="235"/>
      <c r="GO312" s="235"/>
      <c r="GP312" s="235"/>
      <c r="GQ312" s="235"/>
      <c r="GR312" s="235"/>
      <c r="GS312" s="235"/>
      <c r="GT312" s="235"/>
      <c r="GU312" s="235"/>
      <c r="GV312" s="235"/>
      <c r="GW312" s="235"/>
      <c r="GX312" s="235"/>
      <c r="GY312" s="235"/>
      <c r="GZ312" s="235"/>
      <c r="HA312" s="235"/>
      <c r="HB312" s="235"/>
      <c r="HC312" s="235"/>
      <c r="HD312" s="235"/>
      <c r="HE312" s="235"/>
      <c r="HF312" s="235"/>
      <c r="HG312" s="235"/>
      <c r="HH312" s="235"/>
      <c r="HI312" s="235"/>
      <c r="HJ312" s="235"/>
      <c r="HK312" s="235"/>
      <c r="HL312" s="235"/>
      <c r="HM312" s="235"/>
      <c r="HN312" s="235"/>
      <c r="HO312" s="235"/>
      <c r="HP312" s="235"/>
      <c r="HQ312" s="235"/>
    </row>
    <row r="313" spans="8:225">
      <c r="H313" s="235"/>
      <c r="I313" s="235"/>
      <c r="J313" s="235"/>
      <c r="K313" s="235"/>
      <c r="L313" s="235"/>
      <c r="M313" s="235"/>
      <c r="N313" s="235"/>
      <c r="O313" s="235"/>
      <c r="P313" s="235"/>
      <c r="Q313" s="235"/>
      <c r="R313" s="235"/>
      <c r="S313" s="235"/>
      <c r="T313" s="235"/>
      <c r="U313" s="235"/>
      <c r="V313" s="235"/>
      <c r="W313" s="235"/>
      <c r="X313" s="235"/>
      <c r="Y313" s="235"/>
      <c r="Z313" s="235"/>
      <c r="AA313" s="235"/>
      <c r="AB313" s="235"/>
      <c r="AC313" s="235"/>
      <c r="AD313" s="235"/>
      <c r="AE313" s="235"/>
      <c r="AF313" s="235"/>
      <c r="AG313" s="235"/>
      <c r="AH313" s="235"/>
      <c r="AI313" s="235"/>
      <c r="AJ313" s="235"/>
      <c r="AK313" s="235"/>
      <c r="AL313" s="235"/>
      <c r="AM313" s="235"/>
      <c r="AN313" s="235"/>
      <c r="AO313" s="235"/>
      <c r="AP313" s="235"/>
      <c r="AQ313" s="235"/>
      <c r="AR313" s="235"/>
      <c r="AS313" s="235"/>
      <c r="AT313" s="235"/>
      <c r="AU313" s="235"/>
      <c r="AV313" s="235"/>
      <c r="AW313" s="235"/>
      <c r="AX313" s="235"/>
      <c r="AY313" s="235"/>
      <c r="AZ313" s="235"/>
      <c r="BA313" s="235"/>
      <c r="BB313" s="235"/>
      <c r="BC313" s="235"/>
      <c r="BD313" s="235"/>
      <c r="BE313" s="235"/>
      <c r="BF313" s="235"/>
      <c r="BG313" s="235"/>
      <c r="BH313" s="235"/>
      <c r="BI313" s="235"/>
      <c r="BJ313" s="235"/>
      <c r="BK313" s="235"/>
      <c r="BL313" s="235"/>
      <c r="BM313" s="235"/>
      <c r="BN313" s="235"/>
      <c r="BO313" s="235"/>
      <c r="BP313" s="235"/>
      <c r="BQ313" s="235"/>
      <c r="BR313" s="235"/>
      <c r="BS313" s="235"/>
      <c r="BT313" s="235"/>
      <c r="BU313" s="235"/>
      <c r="BV313" s="235"/>
      <c r="BW313" s="235"/>
      <c r="BX313" s="235"/>
      <c r="BY313" s="235"/>
      <c r="BZ313" s="235"/>
      <c r="CA313" s="235"/>
      <c r="CB313" s="235"/>
      <c r="CC313" s="235"/>
      <c r="CD313" s="235"/>
      <c r="CE313" s="235"/>
      <c r="CF313" s="235"/>
      <c r="CG313" s="235"/>
      <c r="CH313" s="235"/>
      <c r="CI313" s="235"/>
      <c r="CJ313" s="235"/>
      <c r="CK313" s="235"/>
      <c r="CL313" s="235"/>
      <c r="CM313" s="235"/>
      <c r="CN313" s="235"/>
      <c r="CO313" s="235"/>
      <c r="CP313" s="235"/>
      <c r="CQ313" s="235"/>
      <c r="CR313" s="235"/>
      <c r="CS313" s="235"/>
      <c r="CT313" s="235"/>
      <c r="CU313" s="235"/>
      <c r="CV313" s="235"/>
      <c r="CW313" s="235"/>
      <c r="CX313" s="235"/>
      <c r="CY313" s="235"/>
      <c r="CZ313" s="235"/>
      <c r="DA313" s="235"/>
      <c r="DB313" s="235"/>
      <c r="DC313" s="235"/>
      <c r="DD313" s="235"/>
      <c r="DE313" s="235"/>
      <c r="DF313" s="235"/>
      <c r="DG313" s="235"/>
      <c r="DH313" s="235"/>
      <c r="DI313" s="235"/>
      <c r="DJ313" s="235"/>
      <c r="DK313" s="235"/>
      <c r="DL313" s="235"/>
      <c r="DM313" s="235"/>
      <c r="DN313" s="235"/>
      <c r="DO313" s="235"/>
      <c r="DP313" s="235"/>
      <c r="DQ313" s="235"/>
      <c r="DR313" s="235"/>
      <c r="DS313" s="235"/>
      <c r="DT313" s="235"/>
      <c r="DU313" s="235"/>
      <c r="DV313" s="235"/>
      <c r="DW313" s="235"/>
      <c r="DX313" s="235"/>
      <c r="DY313" s="235"/>
      <c r="DZ313" s="235"/>
      <c r="EA313" s="235"/>
      <c r="EB313" s="235"/>
      <c r="EC313" s="235"/>
      <c r="ED313" s="235"/>
      <c r="EE313" s="235"/>
      <c r="EF313" s="235"/>
      <c r="EG313" s="235"/>
      <c r="EH313" s="235"/>
      <c r="EI313" s="235"/>
      <c r="EJ313" s="235"/>
      <c r="EK313" s="235"/>
      <c r="EL313" s="235"/>
      <c r="EM313" s="235"/>
      <c r="EN313" s="235"/>
      <c r="EO313" s="235"/>
      <c r="EP313" s="235"/>
      <c r="EQ313" s="235"/>
      <c r="ER313" s="235"/>
      <c r="ES313" s="235"/>
      <c r="ET313" s="235"/>
      <c r="EU313" s="235"/>
      <c r="EV313" s="235"/>
      <c r="EW313" s="235"/>
      <c r="EX313" s="235"/>
      <c r="EY313" s="235"/>
      <c r="EZ313" s="235"/>
      <c r="FA313" s="235"/>
      <c r="FB313" s="235"/>
      <c r="FC313" s="235"/>
      <c r="FD313" s="235"/>
      <c r="FE313" s="235"/>
      <c r="FF313" s="235"/>
      <c r="FG313" s="235"/>
      <c r="FH313" s="235"/>
      <c r="FI313" s="235"/>
      <c r="FJ313" s="235"/>
      <c r="FK313" s="235"/>
      <c r="FL313" s="235"/>
      <c r="FM313" s="235"/>
      <c r="FN313" s="235"/>
      <c r="FO313" s="235"/>
      <c r="FP313" s="235"/>
      <c r="FQ313" s="235"/>
      <c r="FR313" s="235"/>
      <c r="FS313" s="235"/>
      <c r="FT313" s="235"/>
      <c r="FU313" s="235"/>
      <c r="FV313" s="235"/>
      <c r="FW313" s="235"/>
      <c r="FX313" s="235"/>
      <c r="FY313" s="235"/>
      <c r="FZ313" s="235"/>
      <c r="GA313" s="235"/>
      <c r="GB313" s="235"/>
      <c r="GC313" s="235"/>
      <c r="GD313" s="235"/>
      <c r="GE313" s="235"/>
      <c r="GF313" s="235"/>
      <c r="GG313" s="235"/>
      <c r="GH313" s="235"/>
      <c r="GI313" s="235"/>
      <c r="GJ313" s="235"/>
      <c r="GK313" s="235"/>
      <c r="GL313" s="235"/>
      <c r="GM313" s="235"/>
      <c r="GN313" s="235"/>
      <c r="GO313" s="235"/>
      <c r="GP313" s="235"/>
      <c r="GQ313" s="235"/>
      <c r="GR313" s="235"/>
      <c r="GS313" s="235"/>
      <c r="GT313" s="235"/>
      <c r="GU313" s="235"/>
      <c r="GV313" s="235"/>
      <c r="GW313" s="235"/>
      <c r="GX313" s="235"/>
      <c r="GY313" s="235"/>
      <c r="GZ313" s="235"/>
      <c r="HA313" s="235"/>
      <c r="HB313" s="235"/>
      <c r="HC313" s="235"/>
      <c r="HD313" s="235"/>
      <c r="HE313" s="235"/>
      <c r="HF313" s="235"/>
      <c r="HG313" s="235"/>
      <c r="HH313" s="235"/>
      <c r="HI313" s="235"/>
      <c r="HJ313" s="235"/>
      <c r="HK313" s="235"/>
      <c r="HL313" s="235"/>
      <c r="HM313" s="235"/>
      <c r="HN313" s="235"/>
      <c r="HO313" s="235"/>
      <c r="HP313" s="235"/>
      <c r="HQ313" s="235"/>
    </row>
    <row r="314" spans="8:225">
      <c r="H314" s="235"/>
      <c r="I314" s="235"/>
      <c r="J314" s="235"/>
      <c r="K314" s="235"/>
      <c r="L314" s="235"/>
      <c r="M314" s="235"/>
      <c r="N314" s="235"/>
      <c r="O314" s="235"/>
      <c r="P314" s="235"/>
      <c r="Q314" s="235"/>
      <c r="R314" s="235"/>
      <c r="S314" s="235"/>
      <c r="T314" s="235"/>
      <c r="U314" s="235"/>
      <c r="V314" s="235"/>
      <c r="W314" s="235"/>
      <c r="X314" s="235"/>
      <c r="Y314" s="235"/>
      <c r="Z314" s="235"/>
      <c r="AA314" s="235"/>
      <c r="AB314" s="235"/>
      <c r="AC314" s="235"/>
      <c r="AD314" s="235"/>
      <c r="AE314" s="235"/>
      <c r="AF314" s="235"/>
      <c r="AG314" s="235"/>
      <c r="AH314" s="235"/>
      <c r="AI314" s="235"/>
      <c r="AJ314" s="235"/>
      <c r="AK314" s="235"/>
      <c r="AL314" s="235"/>
      <c r="AM314" s="235"/>
      <c r="AN314" s="235"/>
      <c r="AO314" s="235"/>
      <c r="AP314" s="235"/>
      <c r="AQ314" s="235"/>
      <c r="AR314" s="235"/>
      <c r="AS314" s="235"/>
      <c r="AT314" s="235"/>
      <c r="AU314" s="235"/>
      <c r="AV314" s="235"/>
      <c r="AW314" s="235"/>
      <c r="AX314" s="235"/>
      <c r="AY314" s="235"/>
      <c r="AZ314" s="235"/>
      <c r="BA314" s="235"/>
      <c r="BB314" s="235"/>
      <c r="BC314" s="235"/>
      <c r="BD314" s="235"/>
      <c r="BE314" s="235"/>
      <c r="BF314" s="235"/>
      <c r="BG314" s="235"/>
      <c r="BH314" s="235"/>
      <c r="BI314" s="235"/>
      <c r="BJ314" s="235"/>
      <c r="BK314" s="235"/>
      <c r="BL314" s="235"/>
      <c r="BM314" s="235"/>
      <c r="BN314" s="235"/>
      <c r="BO314" s="235"/>
      <c r="BP314" s="235"/>
      <c r="BQ314" s="235"/>
      <c r="BR314" s="235"/>
      <c r="BS314" s="235"/>
      <c r="BT314" s="235"/>
      <c r="BU314" s="235"/>
      <c r="BV314" s="235"/>
      <c r="BW314" s="235"/>
      <c r="BX314" s="235"/>
      <c r="BY314" s="235"/>
      <c r="BZ314" s="235"/>
      <c r="CA314" s="235"/>
      <c r="CB314" s="235"/>
      <c r="CC314" s="235"/>
      <c r="CD314" s="235"/>
      <c r="CE314" s="235"/>
      <c r="CF314" s="235"/>
      <c r="CG314" s="235"/>
      <c r="CH314" s="235"/>
      <c r="CI314" s="235"/>
      <c r="CJ314" s="235"/>
      <c r="CK314" s="235"/>
      <c r="CL314" s="235"/>
      <c r="CM314" s="235"/>
      <c r="CN314" s="235"/>
      <c r="CO314" s="235"/>
      <c r="CP314" s="235"/>
      <c r="CQ314" s="235"/>
      <c r="CR314" s="235"/>
      <c r="CS314" s="235"/>
      <c r="CT314" s="235"/>
      <c r="CU314" s="235"/>
      <c r="CV314" s="235"/>
      <c r="CW314" s="235"/>
      <c r="CX314" s="235"/>
      <c r="CY314" s="235"/>
      <c r="CZ314" s="235"/>
      <c r="DA314" s="235"/>
      <c r="DB314" s="235"/>
      <c r="DC314" s="235"/>
      <c r="DD314" s="235"/>
      <c r="DE314" s="235"/>
      <c r="DF314" s="235"/>
      <c r="DG314" s="235"/>
      <c r="DH314" s="235"/>
      <c r="DI314" s="235"/>
      <c r="DJ314" s="235"/>
      <c r="DK314" s="235"/>
      <c r="DL314" s="235"/>
      <c r="DM314" s="235"/>
      <c r="DN314" s="235"/>
      <c r="DO314" s="235"/>
      <c r="DP314" s="235"/>
      <c r="DQ314" s="235"/>
      <c r="DR314" s="235"/>
      <c r="DS314" s="235"/>
      <c r="DT314" s="235"/>
      <c r="DU314" s="235"/>
      <c r="DV314" s="235"/>
      <c r="DW314" s="235"/>
      <c r="DX314" s="235"/>
      <c r="DY314" s="235"/>
      <c r="DZ314" s="235"/>
      <c r="EA314" s="235"/>
      <c r="EB314" s="235"/>
      <c r="EC314" s="235"/>
      <c r="ED314" s="235"/>
      <c r="EE314" s="235"/>
      <c r="EF314" s="235"/>
      <c r="EG314" s="235"/>
      <c r="EH314" s="235"/>
      <c r="EI314" s="235"/>
      <c r="EJ314" s="235"/>
      <c r="EK314" s="235"/>
      <c r="EL314" s="235"/>
      <c r="EM314" s="235"/>
      <c r="EN314" s="235"/>
      <c r="EO314" s="235"/>
      <c r="EP314" s="235"/>
      <c r="EQ314" s="235"/>
      <c r="ER314" s="235"/>
      <c r="ES314" s="235"/>
      <c r="ET314" s="235"/>
      <c r="EU314" s="235"/>
      <c r="EV314" s="235"/>
      <c r="EW314" s="235"/>
      <c r="EX314" s="235"/>
      <c r="EY314" s="235"/>
      <c r="EZ314" s="235"/>
      <c r="FA314" s="235"/>
      <c r="FB314" s="235"/>
      <c r="FC314" s="235"/>
      <c r="FD314" s="235"/>
      <c r="FE314" s="235"/>
      <c r="FF314" s="235"/>
      <c r="FG314" s="235"/>
      <c r="FH314" s="235"/>
      <c r="FI314" s="235"/>
      <c r="FJ314" s="235"/>
      <c r="FK314" s="235"/>
      <c r="FL314" s="235"/>
      <c r="FM314" s="235"/>
      <c r="FN314" s="235"/>
      <c r="FO314" s="235"/>
      <c r="FP314" s="235"/>
      <c r="FQ314" s="235"/>
      <c r="FR314" s="235"/>
      <c r="FS314" s="235"/>
      <c r="FT314" s="235"/>
      <c r="FU314" s="235"/>
      <c r="FV314" s="235"/>
      <c r="FW314" s="235"/>
      <c r="FX314" s="235"/>
      <c r="FY314" s="235"/>
      <c r="FZ314" s="235"/>
      <c r="GA314" s="235"/>
      <c r="GB314" s="235"/>
      <c r="GC314" s="235"/>
      <c r="GD314" s="235"/>
      <c r="GE314" s="235"/>
      <c r="GF314" s="235"/>
      <c r="GG314" s="235"/>
      <c r="GH314" s="235"/>
      <c r="GI314" s="235"/>
      <c r="GJ314" s="235"/>
      <c r="GK314" s="235"/>
      <c r="GL314" s="235"/>
      <c r="GM314" s="235"/>
      <c r="GN314" s="235"/>
      <c r="GO314" s="235"/>
      <c r="GP314" s="235"/>
      <c r="GQ314" s="235"/>
      <c r="GR314" s="235"/>
      <c r="GS314" s="235"/>
      <c r="GT314" s="235"/>
      <c r="GU314" s="235"/>
      <c r="GV314" s="235"/>
      <c r="GW314" s="235"/>
      <c r="GX314" s="235"/>
      <c r="GY314" s="235"/>
      <c r="GZ314" s="235"/>
      <c r="HA314" s="235"/>
      <c r="HB314" s="235"/>
      <c r="HC314" s="235"/>
      <c r="HD314" s="235"/>
      <c r="HE314" s="235"/>
      <c r="HF314" s="235"/>
      <c r="HG314" s="235"/>
      <c r="HH314" s="235"/>
      <c r="HI314" s="235"/>
      <c r="HJ314" s="235"/>
      <c r="HK314" s="235"/>
      <c r="HL314" s="235"/>
      <c r="HM314" s="235"/>
      <c r="HN314" s="235"/>
      <c r="HO314" s="235"/>
      <c r="HP314" s="235"/>
      <c r="HQ314" s="235"/>
    </row>
    <row r="315" spans="8:225">
      <c r="H315" s="235"/>
      <c r="I315" s="235"/>
      <c r="J315" s="235"/>
      <c r="K315" s="235"/>
      <c r="L315" s="235"/>
      <c r="M315" s="235"/>
      <c r="N315" s="235"/>
      <c r="O315" s="235"/>
      <c r="P315" s="235"/>
      <c r="Q315" s="235"/>
      <c r="R315" s="235"/>
      <c r="S315" s="235"/>
      <c r="T315" s="235"/>
      <c r="U315" s="235"/>
      <c r="V315" s="235"/>
      <c r="W315" s="235"/>
      <c r="X315" s="235"/>
      <c r="Y315" s="235"/>
      <c r="Z315" s="235"/>
      <c r="AA315" s="235"/>
      <c r="AB315" s="235"/>
      <c r="AC315" s="235"/>
      <c r="AD315" s="235"/>
      <c r="AE315" s="235"/>
      <c r="AF315" s="235"/>
      <c r="AG315" s="235"/>
      <c r="AH315" s="235"/>
      <c r="AI315" s="235"/>
      <c r="AJ315" s="235"/>
      <c r="AK315" s="235"/>
      <c r="AL315" s="235"/>
      <c r="AM315" s="235"/>
      <c r="AN315" s="235"/>
      <c r="AO315" s="235"/>
      <c r="AP315" s="235"/>
      <c r="AQ315" s="235"/>
      <c r="AR315" s="235"/>
      <c r="AS315" s="235"/>
      <c r="AT315" s="235"/>
      <c r="AU315" s="235"/>
      <c r="AV315" s="235"/>
      <c r="AW315" s="235"/>
      <c r="AX315" s="235"/>
      <c r="AY315" s="235"/>
      <c r="AZ315" s="235"/>
      <c r="BA315" s="235"/>
      <c r="BB315" s="235"/>
      <c r="BC315" s="235"/>
      <c r="BD315" s="235"/>
      <c r="BE315" s="235"/>
      <c r="BF315" s="235"/>
      <c r="BG315" s="235"/>
      <c r="BH315" s="235"/>
      <c r="BI315" s="235"/>
      <c r="BJ315" s="235"/>
      <c r="BK315" s="235"/>
      <c r="BL315" s="235"/>
      <c r="BM315" s="235"/>
      <c r="BN315" s="235"/>
      <c r="BO315" s="235"/>
      <c r="BP315" s="235"/>
      <c r="BQ315" s="235"/>
      <c r="BR315" s="235"/>
      <c r="BS315" s="235"/>
      <c r="BT315" s="235"/>
      <c r="BU315" s="235"/>
      <c r="BV315" s="235"/>
      <c r="BW315" s="235"/>
      <c r="BX315" s="235"/>
      <c r="BY315" s="235"/>
      <c r="BZ315" s="235"/>
      <c r="CA315" s="235"/>
      <c r="CB315" s="235"/>
      <c r="CC315" s="235"/>
      <c r="CD315" s="235"/>
      <c r="CE315" s="235"/>
      <c r="CF315" s="235"/>
      <c r="CG315" s="235"/>
      <c r="CH315" s="235"/>
      <c r="CI315" s="235"/>
      <c r="CJ315" s="235"/>
      <c r="CK315" s="235"/>
      <c r="CL315" s="235"/>
      <c r="CM315" s="235"/>
      <c r="CN315" s="235"/>
      <c r="CO315" s="235"/>
      <c r="CP315" s="235"/>
      <c r="CQ315" s="235"/>
      <c r="CR315" s="235"/>
      <c r="CS315" s="235"/>
      <c r="CT315" s="235"/>
      <c r="CU315" s="235"/>
      <c r="CV315" s="235"/>
      <c r="CW315" s="235"/>
      <c r="CX315" s="235"/>
      <c r="CY315" s="235"/>
      <c r="CZ315" s="235"/>
      <c r="DA315" s="235"/>
      <c r="DB315" s="235"/>
      <c r="DC315" s="235"/>
      <c r="DD315" s="235"/>
      <c r="DE315" s="235"/>
      <c r="DF315" s="235"/>
      <c r="DG315" s="235"/>
      <c r="DH315" s="235"/>
      <c r="DI315" s="235"/>
      <c r="DJ315" s="235"/>
      <c r="DK315" s="235"/>
      <c r="DL315" s="235"/>
      <c r="DM315" s="235"/>
      <c r="DN315" s="235"/>
      <c r="DO315" s="235"/>
      <c r="DP315" s="235"/>
      <c r="DQ315" s="235"/>
      <c r="DR315" s="235"/>
      <c r="DS315" s="235"/>
      <c r="DT315" s="235"/>
      <c r="DU315" s="235"/>
      <c r="DV315" s="235"/>
      <c r="DW315" s="235"/>
      <c r="DX315" s="235"/>
      <c r="DY315" s="235"/>
      <c r="DZ315" s="235"/>
      <c r="EA315" s="235"/>
      <c r="EB315" s="235"/>
      <c r="EC315" s="235"/>
      <c r="ED315" s="235"/>
      <c r="EE315" s="235"/>
      <c r="EF315" s="235"/>
      <c r="EG315" s="235"/>
      <c r="EH315" s="235"/>
      <c r="EI315" s="235"/>
      <c r="EJ315" s="235"/>
      <c r="EK315" s="235"/>
      <c r="EL315" s="235"/>
      <c r="EM315" s="235"/>
      <c r="EN315" s="235"/>
      <c r="EO315" s="235"/>
      <c r="EP315" s="235"/>
      <c r="EQ315" s="235"/>
      <c r="ER315" s="235"/>
      <c r="ES315" s="235"/>
      <c r="ET315" s="235"/>
      <c r="EU315" s="235"/>
      <c r="EV315" s="235"/>
      <c r="EW315" s="235"/>
      <c r="EX315" s="235"/>
      <c r="EY315" s="235"/>
      <c r="EZ315" s="235"/>
      <c r="FA315" s="235"/>
      <c r="FB315" s="235"/>
      <c r="FC315" s="235"/>
      <c r="FD315" s="235"/>
      <c r="FE315" s="235"/>
      <c r="FF315" s="235"/>
      <c r="FG315" s="235"/>
      <c r="FH315" s="235"/>
      <c r="FI315" s="235"/>
      <c r="FJ315" s="235"/>
      <c r="FK315" s="235"/>
      <c r="FL315" s="235"/>
      <c r="FM315" s="235"/>
      <c r="FN315" s="235"/>
      <c r="FO315" s="235"/>
      <c r="FP315" s="235"/>
      <c r="FQ315" s="235"/>
      <c r="FR315" s="235"/>
      <c r="FS315" s="235"/>
      <c r="FT315" s="235"/>
      <c r="FU315" s="235"/>
      <c r="FV315" s="235"/>
      <c r="FW315" s="235"/>
      <c r="FX315" s="235"/>
      <c r="FY315" s="235"/>
      <c r="FZ315" s="235"/>
      <c r="GA315" s="235"/>
      <c r="GB315" s="235"/>
      <c r="GC315" s="235"/>
      <c r="GD315" s="235"/>
      <c r="GE315" s="235"/>
      <c r="GF315" s="235"/>
      <c r="GG315" s="235"/>
      <c r="GH315" s="235"/>
      <c r="GI315" s="235"/>
      <c r="GJ315" s="235"/>
      <c r="GK315" s="235"/>
      <c r="GL315" s="235"/>
      <c r="GM315" s="235"/>
      <c r="GN315" s="235"/>
      <c r="GO315" s="235"/>
      <c r="GP315" s="235"/>
      <c r="GQ315" s="235"/>
      <c r="GR315" s="235"/>
      <c r="GS315" s="235"/>
      <c r="GT315" s="235"/>
      <c r="GU315" s="235"/>
      <c r="GV315" s="235"/>
      <c r="GW315" s="235"/>
      <c r="GX315" s="235"/>
      <c r="GY315" s="235"/>
      <c r="GZ315" s="235"/>
      <c r="HA315" s="235"/>
      <c r="HB315" s="235"/>
      <c r="HC315" s="235"/>
      <c r="HD315" s="235"/>
      <c r="HE315" s="235"/>
      <c r="HF315" s="235"/>
      <c r="HG315" s="235"/>
      <c r="HH315" s="235"/>
      <c r="HI315" s="235"/>
      <c r="HJ315" s="235"/>
      <c r="HK315" s="235"/>
      <c r="HL315" s="235"/>
      <c r="HM315" s="235"/>
      <c r="HN315" s="235"/>
      <c r="HO315" s="235"/>
      <c r="HP315" s="235"/>
      <c r="HQ315" s="235"/>
    </row>
    <row r="316" spans="8:225">
      <c r="H316" s="235"/>
      <c r="I316" s="235"/>
      <c r="J316" s="235"/>
      <c r="K316" s="235"/>
      <c r="L316" s="235"/>
      <c r="M316" s="235"/>
      <c r="N316" s="235"/>
      <c r="O316" s="235"/>
      <c r="P316" s="235"/>
      <c r="Q316" s="235"/>
      <c r="R316" s="235"/>
      <c r="S316" s="235"/>
      <c r="T316" s="235"/>
      <c r="U316" s="235"/>
      <c r="V316" s="235"/>
      <c r="W316" s="235"/>
      <c r="X316" s="235"/>
      <c r="Y316" s="235"/>
      <c r="Z316" s="235"/>
      <c r="AA316" s="235"/>
      <c r="AB316" s="235"/>
      <c r="AC316" s="235"/>
      <c r="AD316" s="235"/>
      <c r="AE316" s="235"/>
      <c r="AF316" s="235"/>
      <c r="AG316" s="235"/>
      <c r="AH316" s="235"/>
      <c r="AI316" s="235"/>
      <c r="AJ316" s="235"/>
      <c r="AK316" s="235"/>
      <c r="AL316" s="235"/>
      <c r="AM316" s="235"/>
      <c r="AN316" s="235"/>
      <c r="AO316" s="235"/>
      <c r="AP316" s="235"/>
      <c r="AQ316" s="235"/>
      <c r="AR316" s="235"/>
      <c r="AS316" s="235"/>
      <c r="AT316" s="235"/>
      <c r="AU316" s="235"/>
      <c r="AV316" s="235"/>
      <c r="AW316" s="235"/>
      <c r="AX316" s="235"/>
      <c r="AY316" s="235"/>
      <c r="AZ316" s="235"/>
      <c r="BA316" s="235"/>
      <c r="BB316" s="235"/>
      <c r="BC316" s="235"/>
      <c r="BD316" s="235"/>
      <c r="BE316" s="235"/>
      <c r="BF316" s="235"/>
      <c r="BG316" s="235"/>
      <c r="BH316" s="235"/>
      <c r="BI316" s="235"/>
      <c r="BJ316" s="235"/>
      <c r="BK316" s="235"/>
      <c r="BL316" s="235"/>
      <c r="BM316" s="235"/>
      <c r="BN316" s="235"/>
      <c r="BO316" s="235"/>
      <c r="BP316" s="235"/>
      <c r="BQ316" s="235"/>
      <c r="BR316" s="235"/>
      <c r="BS316" s="235"/>
      <c r="BT316" s="235"/>
      <c r="BU316" s="235"/>
      <c r="BV316" s="235"/>
      <c r="BW316" s="235"/>
      <c r="BX316" s="235"/>
      <c r="BY316" s="235"/>
      <c r="BZ316" s="235"/>
      <c r="CA316" s="235"/>
      <c r="CB316" s="235"/>
      <c r="CC316" s="235"/>
      <c r="CD316" s="235"/>
      <c r="CE316" s="235"/>
      <c r="CF316" s="235"/>
      <c r="CG316" s="235"/>
      <c r="CH316" s="235"/>
      <c r="CI316" s="235"/>
      <c r="CJ316" s="235"/>
      <c r="CK316" s="235"/>
      <c r="CL316" s="235"/>
      <c r="CM316" s="235"/>
      <c r="CN316" s="235"/>
      <c r="CO316" s="235"/>
      <c r="CP316" s="235"/>
      <c r="CQ316" s="235"/>
      <c r="CR316" s="235"/>
      <c r="CS316" s="235"/>
      <c r="CT316" s="235"/>
      <c r="CU316" s="235"/>
      <c r="CV316" s="235"/>
      <c r="CW316" s="235"/>
      <c r="CX316" s="235"/>
      <c r="CY316" s="235"/>
      <c r="CZ316" s="235"/>
      <c r="DA316" s="235"/>
      <c r="DB316" s="235"/>
      <c r="DC316" s="235"/>
      <c r="DD316" s="235"/>
      <c r="DE316" s="235"/>
      <c r="DF316" s="235"/>
      <c r="DG316" s="235"/>
      <c r="DH316" s="235"/>
      <c r="DI316" s="235"/>
      <c r="DJ316" s="235"/>
      <c r="DK316" s="235"/>
      <c r="DL316" s="235"/>
      <c r="DM316" s="235"/>
      <c r="DN316" s="235"/>
      <c r="DO316" s="235"/>
      <c r="DP316" s="235"/>
      <c r="DQ316" s="235"/>
      <c r="DR316" s="235"/>
      <c r="DS316" s="235"/>
      <c r="DT316" s="235"/>
      <c r="DU316" s="235"/>
      <c r="DV316" s="235"/>
      <c r="DW316" s="235"/>
      <c r="DX316" s="235"/>
      <c r="DY316" s="235"/>
      <c r="DZ316" s="235"/>
      <c r="EA316" s="235"/>
      <c r="EB316" s="235"/>
      <c r="EC316" s="235"/>
      <c r="ED316" s="235"/>
      <c r="EE316" s="235"/>
      <c r="EF316" s="235"/>
      <c r="EG316" s="235"/>
      <c r="EH316" s="235"/>
      <c r="EI316" s="235"/>
      <c r="EJ316" s="235"/>
      <c r="EK316" s="235"/>
      <c r="EL316" s="235"/>
      <c r="EM316" s="235"/>
      <c r="EN316" s="235"/>
      <c r="EO316" s="235"/>
      <c r="EP316" s="235"/>
      <c r="EQ316" s="235"/>
      <c r="ER316" s="235"/>
      <c r="ES316" s="235"/>
      <c r="ET316" s="235"/>
      <c r="EU316" s="235"/>
      <c r="EV316" s="235"/>
      <c r="EW316" s="235"/>
      <c r="EX316" s="235"/>
      <c r="EY316" s="235"/>
      <c r="EZ316" s="235"/>
      <c r="FA316" s="235"/>
      <c r="FB316" s="235"/>
      <c r="FC316" s="235"/>
      <c r="FD316" s="235"/>
      <c r="FE316" s="235"/>
      <c r="FF316" s="235"/>
      <c r="FG316" s="235"/>
      <c r="FH316" s="235"/>
      <c r="FI316" s="235"/>
      <c r="FJ316" s="235"/>
      <c r="FK316" s="235"/>
      <c r="FL316" s="235"/>
      <c r="FM316" s="235"/>
      <c r="FN316" s="235"/>
      <c r="FO316" s="235"/>
      <c r="FP316" s="235"/>
      <c r="FQ316" s="235"/>
      <c r="FR316" s="235"/>
      <c r="FS316" s="235"/>
      <c r="FT316" s="235"/>
      <c r="FU316" s="235"/>
      <c r="FV316" s="235"/>
      <c r="FW316" s="235"/>
      <c r="FX316" s="235"/>
      <c r="FY316" s="235"/>
      <c r="FZ316" s="235"/>
      <c r="GA316" s="235"/>
      <c r="GB316" s="235"/>
      <c r="GC316" s="235"/>
      <c r="GD316" s="235"/>
      <c r="GE316" s="235"/>
      <c r="GF316" s="235"/>
      <c r="GG316" s="235"/>
      <c r="GH316" s="235"/>
      <c r="GI316" s="235"/>
      <c r="GJ316" s="235"/>
      <c r="GK316" s="235"/>
      <c r="GL316" s="235"/>
      <c r="GM316" s="235"/>
      <c r="GN316" s="235"/>
      <c r="GO316" s="235"/>
      <c r="GP316" s="235"/>
      <c r="GQ316" s="235"/>
      <c r="GR316" s="235"/>
      <c r="GS316" s="235"/>
      <c r="GT316" s="235"/>
      <c r="GU316" s="235"/>
      <c r="GV316" s="235"/>
      <c r="GW316" s="235"/>
      <c r="GX316" s="235"/>
      <c r="GY316" s="235"/>
      <c r="GZ316" s="235"/>
      <c r="HA316" s="235"/>
      <c r="HB316" s="235"/>
      <c r="HC316" s="235"/>
      <c r="HD316" s="235"/>
      <c r="HE316" s="235"/>
      <c r="HF316" s="235"/>
      <c r="HG316" s="235"/>
      <c r="HH316" s="235"/>
      <c r="HI316" s="235"/>
      <c r="HJ316" s="235"/>
      <c r="HK316" s="235"/>
      <c r="HL316" s="235"/>
      <c r="HM316" s="235"/>
      <c r="HN316" s="235"/>
      <c r="HO316" s="235"/>
      <c r="HP316" s="235"/>
      <c r="HQ316" s="235"/>
    </row>
    <row r="317" spans="8:225">
      <c r="H317" s="235"/>
      <c r="I317" s="235"/>
      <c r="J317" s="235"/>
      <c r="K317" s="235"/>
      <c r="L317" s="235"/>
      <c r="M317" s="235"/>
      <c r="N317" s="235"/>
      <c r="O317" s="235"/>
      <c r="P317" s="235"/>
      <c r="Q317" s="235"/>
      <c r="R317" s="235"/>
      <c r="S317" s="235"/>
      <c r="T317" s="235"/>
      <c r="U317" s="235"/>
      <c r="V317" s="235"/>
      <c r="W317" s="235"/>
      <c r="X317" s="235"/>
      <c r="Y317" s="235"/>
      <c r="Z317" s="235"/>
      <c r="AA317" s="235"/>
      <c r="AB317" s="235"/>
      <c r="AC317" s="235"/>
      <c r="AD317" s="235"/>
      <c r="AE317" s="235"/>
      <c r="AF317" s="235"/>
      <c r="AG317" s="235"/>
      <c r="AH317" s="235"/>
      <c r="AI317" s="235"/>
      <c r="AJ317" s="235"/>
      <c r="AK317" s="235"/>
      <c r="AL317" s="235"/>
      <c r="AM317" s="235"/>
      <c r="AN317" s="235"/>
      <c r="AO317" s="235"/>
      <c r="AP317" s="235"/>
      <c r="AQ317" s="235"/>
      <c r="AR317" s="235"/>
      <c r="AS317" s="235"/>
      <c r="AT317" s="235"/>
      <c r="AU317" s="235"/>
      <c r="AV317" s="235"/>
      <c r="AW317" s="235"/>
      <c r="AX317" s="235"/>
      <c r="AY317" s="235"/>
      <c r="AZ317" s="235"/>
      <c r="BA317" s="235"/>
      <c r="BB317" s="235"/>
      <c r="BC317" s="235"/>
      <c r="BD317" s="235"/>
      <c r="BE317" s="235"/>
      <c r="BF317" s="235"/>
      <c r="BG317" s="235"/>
      <c r="BH317" s="235"/>
      <c r="BI317" s="235"/>
      <c r="BJ317" s="235"/>
      <c r="BK317" s="235"/>
      <c r="BL317" s="235"/>
      <c r="BM317" s="235"/>
      <c r="BN317" s="235"/>
      <c r="BO317" s="235"/>
      <c r="BP317" s="235"/>
      <c r="BQ317" s="235"/>
      <c r="BR317" s="235"/>
      <c r="BS317" s="235"/>
      <c r="BT317" s="235"/>
      <c r="BU317" s="235"/>
      <c r="BV317" s="235"/>
      <c r="BW317" s="235"/>
      <c r="BX317" s="235"/>
      <c r="BY317" s="235"/>
      <c r="BZ317" s="235"/>
      <c r="CA317" s="235"/>
      <c r="CB317" s="235"/>
      <c r="CC317" s="235"/>
      <c r="CD317" s="235"/>
      <c r="CE317" s="235"/>
      <c r="CF317" s="235"/>
      <c r="CG317" s="235"/>
      <c r="CH317" s="235"/>
      <c r="CI317" s="235"/>
      <c r="CJ317" s="235"/>
      <c r="CK317" s="235"/>
      <c r="CL317" s="235"/>
      <c r="CM317" s="235"/>
      <c r="CN317" s="235"/>
      <c r="CO317" s="235"/>
      <c r="CP317" s="235"/>
      <c r="CQ317" s="235"/>
      <c r="CR317" s="235"/>
      <c r="CS317" s="235"/>
      <c r="CT317" s="235"/>
      <c r="CU317" s="235"/>
      <c r="CV317" s="235"/>
      <c r="CW317" s="235"/>
      <c r="CX317" s="235"/>
      <c r="CY317" s="235"/>
      <c r="CZ317" s="235"/>
      <c r="DA317" s="235"/>
      <c r="DB317" s="235"/>
      <c r="DC317" s="235"/>
      <c r="DD317" s="235"/>
      <c r="DE317" s="235"/>
      <c r="DF317" s="235"/>
      <c r="DG317" s="235"/>
      <c r="DH317" s="235"/>
      <c r="DI317" s="235"/>
      <c r="DJ317" s="235"/>
      <c r="DK317" s="235"/>
      <c r="DL317" s="235"/>
      <c r="DM317" s="235"/>
      <c r="DN317" s="235"/>
      <c r="DO317" s="235"/>
      <c r="DP317" s="235"/>
      <c r="DQ317" s="235"/>
      <c r="DR317" s="235"/>
      <c r="DS317" s="235"/>
      <c r="DT317" s="235"/>
      <c r="DU317" s="235"/>
      <c r="DV317" s="235"/>
      <c r="DW317" s="235"/>
      <c r="DX317" s="235"/>
      <c r="DY317" s="235"/>
      <c r="DZ317" s="235"/>
      <c r="EA317" s="235"/>
      <c r="EB317" s="235"/>
      <c r="EC317" s="235"/>
      <c r="ED317" s="235"/>
      <c r="EE317" s="235"/>
      <c r="EF317" s="235"/>
      <c r="EG317" s="235"/>
      <c r="EH317" s="235"/>
      <c r="EI317" s="235"/>
      <c r="EJ317" s="235"/>
      <c r="EK317" s="235"/>
      <c r="EL317" s="235"/>
      <c r="EM317" s="235"/>
      <c r="EN317" s="235"/>
      <c r="EO317" s="235"/>
      <c r="EP317" s="235"/>
      <c r="EQ317" s="235"/>
      <c r="ER317" s="235"/>
      <c r="ES317" s="235"/>
      <c r="ET317" s="235"/>
      <c r="EU317" s="235"/>
      <c r="EV317" s="235"/>
      <c r="EW317" s="235"/>
      <c r="EX317" s="235"/>
      <c r="EY317" s="235"/>
      <c r="EZ317" s="235"/>
      <c r="FA317" s="235"/>
      <c r="FB317" s="235"/>
      <c r="FC317" s="235"/>
      <c r="FD317" s="235"/>
      <c r="FE317" s="235"/>
      <c r="FF317" s="235"/>
      <c r="FG317" s="235"/>
      <c r="FH317" s="235"/>
      <c r="FI317" s="235"/>
      <c r="FJ317" s="235"/>
      <c r="FK317" s="235"/>
      <c r="FL317" s="235"/>
      <c r="FM317" s="235"/>
      <c r="FN317" s="235"/>
      <c r="FO317" s="235"/>
      <c r="FP317" s="235"/>
      <c r="FQ317" s="235"/>
      <c r="FR317" s="235"/>
      <c r="FS317" s="235"/>
      <c r="FT317" s="235"/>
      <c r="FU317" s="235"/>
      <c r="FV317" s="235"/>
      <c r="FW317" s="235"/>
      <c r="FX317" s="235"/>
      <c r="FY317" s="235"/>
      <c r="FZ317" s="235"/>
      <c r="GA317" s="235"/>
      <c r="GB317" s="235"/>
      <c r="GC317" s="235"/>
      <c r="GD317" s="235"/>
      <c r="GE317" s="235"/>
      <c r="GF317" s="235"/>
      <c r="GG317" s="235"/>
      <c r="GH317" s="235"/>
      <c r="GI317" s="235"/>
      <c r="GJ317" s="235"/>
      <c r="GK317" s="235"/>
      <c r="GL317" s="235"/>
      <c r="GM317" s="235"/>
      <c r="GN317" s="235"/>
      <c r="GO317" s="235"/>
      <c r="GP317" s="235"/>
      <c r="GQ317" s="235"/>
      <c r="GR317" s="235"/>
      <c r="GS317" s="235"/>
      <c r="GT317" s="235"/>
      <c r="GU317" s="235"/>
      <c r="GV317" s="235"/>
      <c r="GW317" s="235"/>
      <c r="GX317" s="235"/>
      <c r="GY317" s="235"/>
      <c r="GZ317" s="235"/>
      <c r="HA317" s="235"/>
      <c r="HB317" s="235"/>
      <c r="HC317" s="235"/>
      <c r="HD317" s="235"/>
      <c r="HE317" s="235"/>
      <c r="HF317" s="235"/>
      <c r="HG317" s="235"/>
      <c r="HH317" s="235"/>
      <c r="HI317" s="235"/>
      <c r="HJ317" s="235"/>
      <c r="HK317" s="235"/>
      <c r="HL317" s="235"/>
      <c r="HM317" s="235"/>
      <c r="HN317" s="235"/>
      <c r="HO317" s="235"/>
      <c r="HP317" s="235"/>
      <c r="HQ317" s="235"/>
    </row>
    <row r="318" spans="8:225">
      <c r="H318" s="235"/>
      <c r="I318" s="235"/>
      <c r="J318" s="235"/>
      <c r="K318" s="235"/>
      <c r="L318" s="235"/>
      <c r="M318" s="235"/>
      <c r="N318" s="235"/>
      <c r="O318" s="235"/>
      <c r="P318" s="235"/>
      <c r="Q318" s="235"/>
      <c r="R318" s="235"/>
      <c r="S318" s="235"/>
      <c r="T318" s="235"/>
      <c r="U318" s="235"/>
      <c r="V318" s="235"/>
      <c r="W318" s="235"/>
      <c r="X318" s="235"/>
      <c r="Y318" s="235"/>
      <c r="Z318" s="235"/>
      <c r="AA318" s="235"/>
      <c r="AB318" s="235"/>
      <c r="AC318" s="235"/>
      <c r="AD318" s="235"/>
      <c r="AE318" s="235"/>
      <c r="AF318" s="235"/>
      <c r="AG318" s="235"/>
      <c r="AH318" s="235"/>
      <c r="AI318" s="235"/>
      <c r="AJ318" s="235"/>
      <c r="AK318" s="235"/>
      <c r="AL318" s="235"/>
      <c r="AM318" s="235"/>
      <c r="AN318" s="235"/>
      <c r="AO318" s="235"/>
      <c r="AP318" s="235"/>
      <c r="AQ318" s="235"/>
      <c r="AR318" s="235"/>
      <c r="AS318" s="235"/>
      <c r="AT318" s="235"/>
      <c r="AU318" s="235"/>
      <c r="AV318" s="235"/>
      <c r="AW318" s="235"/>
      <c r="AX318" s="235"/>
      <c r="AY318" s="235"/>
      <c r="AZ318" s="235"/>
      <c r="BA318" s="235"/>
      <c r="BB318" s="235"/>
      <c r="BC318" s="235"/>
      <c r="BD318" s="235"/>
      <c r="BE318" s="235"/>
      <c r="BF318" s="235"/>
      <c r="BG318" s="235"/>
      <c r="BH318" s="235"/>
      <c r="BI318" s="235"/>
      <c r="BJ318" s="235"/>
      <c r="BK318" s="235"/>
      <c r="BL318" s="235"/>
      <c r="BM318" s="235"/>
      <c r="BN318" s="235"/>
      <c r="BO318" s="235"/>
      <c r="BP318" s="235"/>
      <c r="BQ318" s="235"/>
      <c r="BR318" s="235"/>
      <c r="BS318" s="235"/>
      <c r="BT318" s="235"/>
      <c r="BU318" s="235"/>
      <c r="BV318" s="235"/>
      <c r="BW318" s="235"/>
      <c r="BX318" s="235"/>
      <c r="BY318" s="235"/>
      <c r="BZ318" s="235"/>
      <c r="CA318" s="235"/>
      <c r="CB318" s="235"/>
      <c r="CC318" s="235"/>
      <c r="CD318" s="235"/>
      <c r="CE318" s="235"/>
      <c r="CF318" s="235"/>
      <c r="CG318" s="235"/>
      <c r="CH318" s="235"/>
      <c r="CI318" s="235"/>
      <c r="CJ318" s="235"/>
      <c r="CK318" s="235"/>
      <c r="CL318" s="235"/>
      <c r="CM318" s="235"/>
      <c r="CN318" s="235"/>
      <c r="CO318" s="235"/>
      <c r="CP318" s="235"/>
      <c r="CQ318" s="235"/>
      <c r="CR318" s="235"/>
      <c r="CS318" s="235"/>
      <c r="CT318" s="235"/>
      <c r="CU318" s="235"/>
      <c r="CV318" s="235"/>
      <c r="CW318" s="235"/>
      <c r="CX318" s="235"/>
      <c r="CY318" s="235"/>
      <c r="CZ318" s="235"/>
      <c r="DA318" s="235"/>
      <c r="DB318" s="235"/>
      <c r="DC318" s="235"/>
      <c r="DD318" s="235"/>
      <c r="DE318" s="235"/>
      <c r="DF318" s="235"/>
      <c r="DG318" s="235"/>
      <c r="DH318" s="235"/>
      <c r="DI318" s="235"/>
      <c r="DJ318" s="235"/>
      <c r="DK318" s="235"/>
      <c r="DL318" s="235"/>
      <c r="DM318" s="235"/>
      <c r="DN318" s="235"/>
      <c r="DO318" s="235"/>
      <c r="DP318" s="235"/>
      <c r="DQ318" s="235"/>
      <c r="DR318" s="235"/>
      <c r="DS318" s="235"/>
      <c r="DT318" s="235"/>
      <c r="DU318" s="235"/>
      <c r="DV318" s="235"/>
      <c r="DW318" s="235"/>
      <c r="DX318" s="235"/>
      <c r="DY318" s="235"/>
      <c r="DZ318" s="235"/>
      <c r="EA318" s="235"/>
      <c r="EB318" s="235"/>
      <c r="EC318" s="235"/>
      <c r="ED318" s="235"/>
      <c r="EE318" s="235"/>
      <c r="EF318" s="235"/>
      <c r="EG318" s="235"/>
      <c r="EH318" s="235"/>
      <c r="EI318" s="235"/>
      <c r="EJ318" s="235"/>
      <c r="EK318" s="235"/>
      <c r="EL318" s="235"/>
      <c r="EM318" s="235"/>
      <c r="EN318" s="235"/>
      <c r="EO318" s="235"/>
      <c r="EP318" s="235"/>
      <c r="EQ318" s="235"/>
      <c r="ER318" s="235"/>
      <c r="ES318" s="235"/>
      <c r="ET318" s="235"/>
      <c r="EU318" s="235"/>
      <c r="EV318" s="235"/>
      <c r="EW318" s="235"/>
      <c r="EX318" s="235"/>
      <c r="EY318" s="235"/>
      <c r="EZ318" s="235"/>
      <c r="FA318" s="235"/>
      <c r="FB318" s="235"/>
      <c r="FC318" s="235"/>
      <c r="FD318" s="235"/>
      <c r="FE318" s="235"/>
      <c r="FF318" s="235"/>
      <c r="FG318" s="235"/>
      <c r="FH318" s="235"/>
      <c r="FI318" s="235"/>
      <c r="FJ318" s="235"/>
      <c r="FK318" s="235"/>
      <c r="FL318" s="235"/>
      <c r="FM318" s="235"/>
      <c r="FN318" s="235"/>
      <c r="FO318" s="235"/>
      <c r="FP318" s="235"/>
      <c r="FQ318" s="235"/>
      <c r="FR318" s="235"/>
      <c r="FS318" s="235"/>
      <c r="FT318" s="235"/>
      <c r="FU318" s="235"/>
      <c r="FV318" s="235"/>
      <c r="FW318" s="235"/>
      <c r="FX318" s="235"/>
      <c r="FY318" s="235"/>
      <c r="FZ318" s="235"/>
      <c r="GA318" s="235"/>
      <c r="GB318" s="235"/>
      <c r="GC318" s="235"/>
      <c r="GD318" s="235"/>
      <c r="GE318" s="235"/>
      <c r="GF318" s="235"/>
      <c r="GG318" s="235"/>
      <c r="GH318" s="235"/>
      <c r="GI318" s="235"/>
      <c r="GJ318" s="235"/>
      <c r="GK318" s="235"/>
      <c r="GL318" s="235"/>
      <c r="GM318" s="235"/>
      <c r="GN318" s="235"/>
      <c r="GO318" s="235"/>
      <c r="GP318" s="235"/>
      <c r="GQ318" s="235"/>
      <c r="GR318" s="235"/>
      <c r="GS318" s="235"/>
      <c r="GT318" s="235"/>
      <c r="GU318" s="235"/>
      <c r="GV318" s="235"/>
      <c r="GW318" s="235"/>
      <c r="GX318" s="235"/>
      <c r="GY318" s="235"/>
      <c r="GZ318" s="235"/>
      <c r="HA318" s="235"/>
      <c r="HB318" s="235"/>
      <c r="HC318" s="235"/>
      <c r="HD318" s="235"/>
      <c r="HE318" s="235"/>
      <c r="HF318" s="235"/>
      <c r="HG318" s="235"/>
      <c r="HH318" s="235"/>
      <c r="HI318" s="235"/>
      <c r="HJ318" s="235"/>
      <c r="HK318" s="235"/>
      <c r="HL318" s="235"/>
      <c r="HM318" s="235"/>
      <c r="HN318" s="235"/>
      <c r="HO318" s="235"/>
      <c r="HP318" s="235"/>
      <c r="HQ318" s="235"/>
    </row>
    <row r="319" spans="8:225">
      <c r="H319" s="235"/>
      <c r="I319" s="235"/>
      <c r="J319" s="235"/>
      <c r="K319" s="235"/>
      <c r="L319" s="235"/>
      <c r="M319" s="235"/>
      <c r="N319" s="235"/>
      <c r="O319" s="235"/>
      <c r="P319" s="235"/>
      <c r="Q319" s="235"/>
      <c r="R319" s="235"/>
      <c r="S319" s="235"/>
      <c r="T319" s="235"/>
      <c r="U319" s="235"/>
      <c r="V319" s="235"/>
      <c r="W319" s="235"/>
      <c r="X319" s="235"/>
      <c r="Y319" s="235"/>
      <c r="Z319" s="235"/>
      <c r="AA319" s="235"/>
      <c r="AB319" s="235"/>
      <c r="AC319" s="235"/>
      <c r="AD319" s="235"/>
      <c r="AE319" s="235"/>
      <c r="AF319" s="235"/>
      <c r="AG319" s="235"/>
      <c r="AH319" s="235"/>
      <c r="AI319" s="235"/>
      <c r="AJ319" s="235"/>
      <c r="AK319" s="235"/>
      <c r="AL319" s="235"/>
      <c r="AM319" s="235"/>
      <c r="AN319" s="235"/>
      <c r="AO319" s="235"/>
      <c r="AP319" s="235"/>
      <c r="AQ319" s="235"/>
      <c r="AR319" s="235"/>
      <c r="AS319" s="235"/>
      <c r="AT319" s="235"/>
      <c r="AU319" s="235"/>
      <c r="AV319" s="235"/>
      <c r="AW319" s="235"/>
      <c r="AX319" s="235"/>
      <c r="AY319" s="235"/>
      <c r="AZ319" s="235"/>
      <c r="BA319" s="235"/>
      <c r="BB319" s="235"/>
      <c r="BC319" s="235"/>
      <c r="BD319" s="235"/>
      <c r="BE319" s="235"/>
      <c r="BF319" s="235"/>
      <c r="BG319" s="235"/>
      <c r="BH319" s="235"/>
      <c r="BI319" s="235"/>
      <c r="BJ319" s="235"/>
      <c r="BK319" s="235"/>
      <c r="BL319" s="235"/>
      <c r="BM319" s="235"/>
      <c r="BN319" s="235"/>
      <c r="BO319" s="235"/>
      <c r="BP319" s="235"/>
      <c r="BQ319" s="235"/>
      <c r="BR319" s="235"/>
      <c r="BS319" s="235"/>
      <c r="BT319" s="235"/>
      <c r="BU319" s="235"/>
      <c r="BV319" s="235"/>
      <c r="BW319" s="235"/>
      <c r="BX319" s="235"/>
      <c r="BY319" s="235"/>
      <c r="BZ319" s="235"/>
      <c r="CA319" s="235"/>
      <c r="CB319" s="235"/>
      <c r="CC319" s="235"/>
      <c r="CD319" s="235"/>
      <c r="CE319" s="235"/>
      <c r="CF319" s="235"/>
      <c r="CG319" s="235"/>
      <c r="CH319" s="235"/>
      <c r="CI319" s="235"/>
      <c r="CJ319" s="235"/>
      <c r="CK319" s="235"/>
      <c r="CL319" s="235"/>
      <c r="CM319" s="235"/>
      <c r="CN319" s="235"/>
      <c r="CO319" s="235"/>
      <c r="CP319" s="235"/>
      <c r="CQ319" s="235"/>
      <c r="CR319" s="235"/>
      <c r="CS319" s="235"/>
      <c r="CT319" s="235"/>
      <c r="CU319" s="235"/>
      <c r="CV319" s="235"/>
      <c r="CW319" s="235"/>
      <c r="CX319" s="235"/>
      <c r="CY319" s="235"/>
      <c r="CZ319" s="235"/>
      <c r="DA319" s="235"/>
      <c r="DB319" s="235"/>
      <c r="DC319" s="235"/>
      <c r="DD319" s="235"/>
      <c r="DE319" s="235"/>
      <c r="DF319" s="235"/>
      <c r="DG319" s="235"/>
      <c r="DH319" s="235"/>
      <c r="DI319" s="235"/>
      <c r="DJ319" s="235"/>
      <c r="DK319" s="235"/>
      <c r="DL319" s="235"/>
      <c r="DM319" s="235"/>
      <c r="DN319" s="235"/>
      <c r="DO319" s="235"/>
      <c r="DP319" s="235"/>
      <c r="DQ319" s="235"/>
      <c r="DR319" s="235"/>
      <c r="DS319" s="235"/>
      <c r="DT319" s="235"/>
      <c r="DU319" s="235"/>
      <c r="DV319" s="235"/>
      <c r="DW319" s="235"/>
      <c r="DX319" s="235"/>
      <c r="DY319" s="235"/>
      <c r="DZ319" s="235"/>
      <c r="EA319" s="235"/>
      <c r="EB319" s="235"/>
      <c r="EC319" s="235"/>
      <c r="ED319" s="235"/>
      <c r="EE319" s="235"/>
      <c r="EF319" s="235"/>
      <c r="EG319" s="235"/>
      <c r="EH319" s="235"/>
      <c r="EI319" s="235"/>
      <c r="EJ319" s="235"/>
      <c r="EK319" s="235"/>
      <c r="EL319" s="235"/>
      <c r="EM319" s="235"/>
      <c r="EN319" s="235"/>
      <c r="EO319" s="235"/>
      <c r="EP319" s="235"/>
      <c r="EQ319" s="235"/>
      <c r="ER319" s="235"/>
      <c r="ES319" s="235"/>
      <c r="ET319" s="235"/>
      <c r="EU319" s="235"/>
      <c r="EV319" s="235"/>
      <c r="EW319" s="235"/>
      <c r="EX319" s="235"/>
      <c r="EY319" s="235"/>
      <c r="EZ319" s="235"/>
      <c r="FA319" s="235"/>
      <c r="FB319" s="235"/>
      <c r="FC319" s="235"/>
      <c r="FD319" s="235"/>
      <c r="FE319" s="235"/>
      <c r="FF319" s="235"/>
      <c r="FG319" s="235"/>
      <c r="FH319" s="235"/>
      <c r="FI319" s="235"/>
      <c r="FJ319" s="235"/>
      <c r="FK319" s="235"/>
      <c r="FL319" s="235"/>
      <c r="FM319" s="235"/>
      <c r="FN319" s="235"/>
      <c r="FO319" s="235"/>
      <c r="FP319" s="235"/>
      <c r="FQ319" s="235"/>
      <c r="FR319" s="235"/>
      <c r="FS319" s="235"/>
      <c r="FT319" s="235"/>
      <c r="FU319" s="235"/>
      <c r="FV319" s="235"/>
      <c r="FW319" s="235"/>
      <c r="FX319" s="235"/>
      <c r="FY319" s="235"/>
      <c r="FZ319" s="235"/>
      <c r="GA319" s="235"/>
      <c r="GB319" s="235"/>
      <c r="GC319" s="235"/>
      <c r="GD319" s="235"/>
      <c r="GE319" s="235"/>
      <c r="GF319" s="235"/>
      <c r="GG319" s="235"/>
      <c r="GH319" s="235"/>
      <c r="GI319" s="235"/>
      <c r="GJ319" s="235"/>
      <c r="GK319" s="235"/>
      <c r="GL319" s="235"/>
      <c r="GM319" s="235"/>
      <c r="GN319" s="235"/>
      <c r="GO319" s="235"/>
      <c r="GP319" s="235"/>
      <c r="GQ319" s="235"/>
      <c r="GR319" s="235"/>
      <c r="GS319" s="235"/>
      <c r="GT319" s="235"/>
      <c r="GU319" s="235"/>
      <c r="GV319" s="235"/>
      <c r="GW319" s="235"/>
      <c r="GX319" s="235"/>
      <c r="GY319" s="235"/>
      <c r="GZ319" s="235"/>
      <c r="HA319" s="235"/>
      <c r="HB319" s="235"/>
      <c r="HC319" s="235"/>
      <c r="HD319" s="235"/>
      <c r="HE319" s="235"/>
      <c r="HF319" s="235"/>
      <c r="HG319" s="235"/>
      <c r="HH319" s="235"/>
      <c r="HI319" s="235"/>
      <c r="HJ319" s="235"/>
      <c r="HK319" s="235"/>
      <c r="HL319" s="235"/>
      <c r="HM319" s="235"/>
      <c r="HN319" s="235"/>
      <c r="HO319" s="235"/>
      <c r="HP319" s="235"/>
      <c r="HQ319" s="235"/>
    </row>
    <row r="320" spans="8:225">
      <c r="H320" s="235"/>
      <c r="I320" s="235"/>
      <c r="J320" s="235"/>
      <c r="K320" s="235"/>
      <c r="L320" s="235"/>
      <c r="M320" s="235"/>
      <c r="N320" s="235"/>
      <c r="O320" s="235"/>
      <c r="P320" s="235"/>
      <c r="Q320" s="235"/>
      <c r="R320" s="235"/>
      <c r="S320" s="235"/>
      <c r="T320" s="235"/>
      <c r="U320" s="235"/>
      <c r="V320" s="235"/>
      <c r="W320" s="235"/>
      <c r="X320" s="235"/>
      <c r="Y320" s="235"/>
      <c r="Z320" s="235"/>
      <c r="AA320" s="235"/>
      <c r="AB320" s="235"/>
      <c r="AC320" s="235"/>
      <c r="AD320" s="235"/>
      <c r="AE320" s="235"/>
      <c r="AF320" s="235"/>
      <c r="AG320" s="235"/>
      <c r="AH320" s="235"/>
      <c r="AI320" s="235"/>
      <c r="AJ320" s="235"/>
      <c r="AK320" s="235"/>
      <c r="AL320" s="235"/>
      <c r="AM320" s="235"/>
      <c r="AN320" s="235"/>
      <c r="AO320" s="235"/>
      <c r="AP320" s="235"/>
      <c r="AQ320" s="235"/>
      <c r="AR320" s="235"/>
      <c r="AS320" s="235"/>
      <c r="AT320" s="235"/>
      <c r="AU320" s="235"/>
      <c r="AV320" s="235"/>
      <c r="AW320" s="235"/>
      <c r="AX320" s="235"/>
      <c r="AY320" s="235"/>
      <c r="AZ320" s="235"/>
      <c r="BA320" s="235"/>
      <c r="BB320" s="235"/>
      <c r="BC320" s="235"/>
      <c r="BD320" s="235"/>
      <c r="BE320" s="235"/>
      <c r="BF320" s="235"/>
      <c r="BG320" s="235"/>
      <c r="BH320" s="235"/>
      <c r="BI320" s="235"/>
      <c r="BJ320" s="235"/>
      <c r="BK320" s="235"/>
      <c r="BL320" s="235"/>
      <c r="BM320" s="235"/>
      <c r="BN320" s="235"/>
      <c r="BO320" s="235"/>
      <c r="BP320" s="235"/>
      <c r="BQ320" s="235"/>
      <c r="BR320" s="235"/>
      <c r="BS320" s="235"/>
      <c r="BT320" s="235"/>
      <c r="BU320" s="235"/>
      <c r="BV320" s="235"/>
      <c r="BW320" s="235"/>
      <c r="BX320" s="235"/>
      <c r="BY320" s="235"/>
      <c r="BZ320" s="235"/>
      <c r="CA320" s="235"/>
      <c r="CB320" s="235"/>
      <c r="CC320" s="235"/>
      <c r="CD320" s="235"/>
      <c r="CE320" s="235"/>
      <c r="CF320" s="235"/>
      <c r="CG320" s="235"/>
      <c r="CH320" s="235"/>
      <c r="CI320" s="235"/>
      <c r="CJ320" s="235"/>
      <c r="CK320" s="235"/>
      <c r="CL320" s="235"/>
      <c r="CM320" s="235"/>
      <c r="CN320" s="235"/>
      <c r="CO320" s="235"/>
      <c r="CP320" s="235"/>
      <c r="CQ320" s="235"/>
      <c r="CR320" s="235"/>
      <c r="CS320" s="235"/>
      <c r="CT320" s="235"/>
      <c r="CU320" s="235"/>
      <c r="CV320" s="235"/>
      <c r="CW320" s="235"/>
      <c r="CX320" s="235"/>
      <c r="CY320" s="235"/>
      <c r="CZ320" s="235"/>
      <c r="DA320" s="235"/>
      <c r="DB320" s="235"/>
      <c r="DC320" s="235"/>
      <c r="DD320" s="235"/>
      <c r="DE320" s="235"/>
      <c r="DF320" s="235"/>
      <c r="DG320" s="235"/>
      <c r="DH320" s="235"/>
      <c r="DI320" s="235"/>
      <c r="DJ320" s="235"/>
      <c r="DK320" s="235"/>
      <c r="DL320" s="235"/>
      <c r="DM320" s="235"/>
      <c r="DN320" s="235"/>
      <c r="DO320" s="235"/>
      <c r="DP320" s="235"/>
      <c r="DQ320" s="235"/>
      <c r="DR320" s="235"/>
      <c r="DS320" s="235"/>
      <c r="DT320" s="235"/>
      <c r="DU320" s="235"/>
      <c r="DV320" s="235"/>
      <c r="DW320" s="235"/>
      <c r="DX320" s="235"/>
      <c r="DY320" s="235"/>
      <c r="DZ320" s="235"/>
      <c r="EA320" s="235"/>
      <c r="EB320" s="235"/>
      <c r="EC320" s="235"/>
      <c r="ED320" s="235"/>
      <c r="EE320" s="235"/>
      <c r="EF320" s="235"/>
      <c r="EG320" s="235"/>
      <c r="EH320" s="235"/>
      <c r="EI320" s="235"/>
      <c r="EJ320" s="235"/>
      <c r="EK320" s="235"/>
      <c r="EL320" s="235"/>
      <c r="EM320" s="235"/>
      <c r="EN320" s="235"/>
      <c r="EO320" s="235"/>
      <c r="EP320" s="235"/>
      <c r="EQ320" s="235"/>
      <c r="ER320" s="235"/>
      <c r="ES320" s="235"/>
      <c r="ET320" s="235"/>
      <c r="EU320" s="235"/>
      <c r="EV320" s="235"/>
      <c r="EW320" s="235"/>
      <c r="EX320" s="235"/>
      <c r="EY320" s="235"/>
      <c r="EZ320" s="235"/>
      <c r="FA320" s="235"/>
      <c r="FB320" s="235"/>
      <c r="FC320" s="235"/>
      <c r="FD320" s="235"/>
      <c r="FE320" s="235"/>
      <c r="FF320" s="235"/>
      <c r="FG320" s="235"/>
      <c r="FH320" s="235"/>
      <c r="FI320" s="235"/>
      <c r="FJ320" s="235"/>
      <c r="FK320" s="235"/>
      <c r="FL320" s="235"/>
      <c r="FM320" s="235"/>
      <c r="FN320" s="235"/>
      <c r="FO320" s="235"/>
      <c r="FP320" s="235"/>
      <c r="FQ320" s="235"/>
      <c r="FR320" s="235"/>
      <c r="FS320" s="235"/>
      <c r="FT320" s="235"/>
      <c r="FU320" s="235"/>
      <c r="FV320" s="235"/>
      <c r="FW320" s="235"/>
      <c r="FX320" s="235"/>
      <c r="FY320" s="235"/>
      <c r="FZ320" s="235"/>
      <c r="GA320" s="235"/>
      <c r="GB320" s="235"/>
      <c r="GC320" s="235"/>
      <c r="GD320" s="235"/>
      <c r="GE320" s="235"/>
      <c r="GF320" s="235"/>
      <c r="GG320" s="235"/>
      <c r="GH320" s="235"/>
      <c r="GI320" s="235"/>
      <c r="GJ320" s="235"/>
      <c r="GK320" s="235"/>
      <c r="GL320" s="235"/>
      <c r="GM320" s="235"/>
      <c r="GN320" s="235"/>
      <c r="GO320" s="235"/>
      <c r="GP320" s="235"/>
      <c r="GQ320" s="235"/>
      <c r="GR320" s="235"/>
      <c r="GS320" s="235"/>
      <c r="GT320" s="235"/>
      <c r="GU320" s="235"/>
      <c r="GV320" s="235"/>
      <c r="GW320" s="235"/>
      <c r="GX320" s="235"/>
      <c r="GY320" s="235"/>
      <c r="GZ320" s="235"/>
      <c r="HA320" s="235"/>
      <c r="HB320" s="235"/>
      <c r="HC320" s="235"/>
      <c r="HD320" s="235"/>
      <c r="HE320" s="235"/>
      <c r="HF320" s="235"/>
      <c r="HG320" s="235"/>
      <c r="HH320" s="235"/>
      <c r="HI320" s="235"/>
      <c r="HJ320" s="235"/>
      <c r="HK320" s="235"/>
      <c r="HL320" s="235"/>
      <c r="HM320" s="235"/>
      <c r="HN320" s="235"/>
      <c r="HO320" s="235"/>
      <c r="HP320" s="235"/>
      <c r="HQ320" s="235"/>
    </row>
    <row r="321" spans="8:225">
      <c r="H321" s="235"/>
      <c r="I321" s="235"/>
      <c r="J321" s="235"/>
      <c r="K321" s="235"/>
      <c r="L321" s="235"/>
      <c r="M321" s="235"/>
      <c r="N321" s="235"/>
      <c r="O321" s="235"/>
      <c r="P321" s="235"/>
      <c r="Q321" s="235"/>
      <c r="R321" s="235"/>
      <c r="S321" s="235"/>
      <c r="T321" s="235"/>
      <c r="U321" s="235"/>
      <c r="V321" s="235"/>
      <c r="W321" s="235"/>
      <c r="X321" s="235"/>
      <c r="Y321" s="235"/>
      <c r="Z321" s="235"/>
      <c r="AA321" s="235"/>
      <c r="AB321" s="235"/>
      <c r="AC321" s="235"/>
      <c r="AD321" s="235"/>
      <c r="AE321" s="235"/>
      <c r="AF321" s="235"/>
      <c r="AG321" s="235"/>
      <c r="AH321" s="235"/>
      <c r="AI321" s="235"/>
      <c r="AJ321" s="235"/>
      <c r="AK321" s="235"/>
      <c r="AL321" s="235"/>
      <c r="AM321" s="235"/>
      <c r="AN321" s="235"/>
      <c r="AO321" s="235"/>
      <c r="AP321" s="235"/>
      <c r="AQ321" s="235"/>
      <c r="AR321" s="235"/>
      <c r="AS321" s="235"/>
      <c r="AT321" s="235"/>
      <c r="AU321" s="235"/>
      <c r="AV321" s="235"/>
      <c r="AW321" s="235"/>
      <c r="AX321" s="235"/>
      <c r="AY321" s="235"/>
      <c r="AZ321" s="235"/>
      <c r="BA321" s="235"/>
      <c r="BB321" s="235"/>
      <c r="BC321" s="235"/>
      <c r="BD321" s="235"/>
      <c r="BE321" s="235"/>
      <c r="BF321" s="235"/>
      <c r="BG321" s="235"/>
      <c r="BH321" s="235"/>
      <c r="BI321" s="235"/>
      <c r="BJ321" s="235"/>
      <c r="BK321" s="235"/>
      <c r="BL321" s="235"/>
      <c r="BM321" s="235"/>
      <c r="BN321" s="235"/>
      <c r="BO321" s="235"/>
      <c r="BP321" s="235"/>
      <c r="BQ321" s="235"/>
      <c r="BR321" s="235"/>
      <c r="BS321" s="235"/>
      <c r="BT321" s="235"/>
      <c r="BU321" s="235"/>
      <c r="BV321" s="235"/>
      <c r="BW321" s="235"/>
      <c r="BX321" s="235"/>
      <c r="BY321" s="235"/>
      <c r="BZ321" s="235"/>
      <c r="CA321" s="235"/>
      <c r="CB321" s="235"/>
      <c r="CC321" s="235"/>
      <c r="CD321" s="235"/>
      <c r="CE321" s="235"/>
      <c r="CF321" s="235"/>
      <c r="CG321" s="235"/>
      <c r="CH321" s="235"/>
      <c r="CI321" s="235"/>
      <c r="CJ321" s="235"/>
      <c r="CK321" s="235"/>
      <c r="CL321" s="235"/>
      <c r="CM321" s="235"/>
      <c r="CN321" s="235"/>
      <c r="CO321" s="235"/>
      <c r="CP321" s="235"/>
      <c r="CQ321" s="235"/>
      <c r="CR321" s="235"/>
      <c r="CS321" s="235"/>
      <c r="CT321" s="235"/>
      <c r="CU321" s="235"/>
      <c r="CV321" s="235"/>
      <c r="CW321" s="235"/>
      <c r="CX321" s="235"/>
      <c r="CY321" s="235"/>
      <c r="CZ321" s="235"/>
      <c r="DA321" s="235"/>
      <c r="DB321" s="235"/>
      <c r="DC321" s="235"/>
      <c r="DD321" s="235"/>
      <c r="DE321" s="235"/>
      <c r="DF321" s="235"/>
      <c r="DG321" s="235"/>
      <c r="DH321" s="235"/>
      <c r="DI321" s="235"/>
      <c r="DJ321" s="235"/>
      <c r="DK321" s="235"/>
      <c r="DL321" s="235"/>
      <c r="DM321" s="235"/>
      <c r="DN321" s="235"/>
      <c r="DO321" s="235"/>
      <c r="DP321" s="235"/>
      <c r="DQ321" s="235"/>
      <c r="DR321" s="235"/>
      <c r="DS321" s="235"/>
      <c r="DT321" s="235"/>
      <c r="DU321" s="235"/>
      <c r="DV321" s="235"/>
      <c r="DW321" s="235"/>
      <c r="DX321" s="235"/>
      <c r="DY321" s="235"/>
      <c r="DZ321" s="235"/>
      <c r="EA321" s="235"/>
      <c r="EB321" s="235"/>
      <c r="EC321" s="235"/>
      <c r="ED321" s="235"/>
      <c r="EE321" s="235"/>
      <c r="EF321" s="235"/>
      <c r="EG321" s="235"/>
      <c r="EH321" s="235"/>
      <c r="EI321" s="235"/>
      <c r="EJ321" s="235"/>
      <c r="EK321" s="235"/>
      <c r="EL321" s="235"/>
      <c r="EM321" s="235"/>
      <c r="EN321" s="235"/>
      <c r="EO321" s="235"/>
      <c r="EP321" s="235"/>
      <c r="EQ321" s="235"/>
      <c r="ER321" s="235"/>
      <c r="ES321" s="235"/>
      <c r="ET321" s="235"/>
      <c r="EU321" s="235"/>
      <c r="EV321" s="235"/>
      <c r="EW321" s="235"/>
      <c r="EX321" s="235"/>
      <c r="EY321" s="235"/>
      <c r="EZ321" s="235"/>
      <c r="FA321" s="235"/>
      <c r="FB321" s="235"/>
      <c r="FC321" s="235"/>
      <c r="FD321" s="235"/>
      <c r="FE321" s="235"/>
      <c r="FF321" s="235"/>
      <c r="FG321" s="235"/>
      <c r="FH321" s="235"/>
      <c r="FI321" s="235"/>
      <c r="FJ321" s="235"/>
      <c r="FK321" s="235"/>
      <c r="FL321" s="235"/>
      <c r="FM321" s="235"/>
      <c r="FN321" s="235"/>
      <c r="FO321" s="235"/>
      <c r="FP321" s="235"/>
      <c r="FQ321" s="235"/>
      <c r="FR321" s="235"/>
      <c r="FS321" s="235"/>
      <c r="FT321" s="235"/>
      <c r="FU321" s="235"/>
      <c r="FV321" s="235"/>
      <c r="FW321" s="235"/>
      <c r="FX321" s="235"/>
      <c r="FY321" s="235"/>
      <c r="FZ321" s="235"/>
      <c r="GA321" s="235"/>
      <c r="GB321" s="235"/>
      <c r="GC321" s="235"/>
      <c r="GD321" s="235"/>
      <c r="GE321" s="235"/>
      <c r="GF321" s="235"/>
      <c r="GG321" s="235"/>
      <c r="GH321" s="235"/>
      <c r="GI321" s="235"/>
      <c r="GJ321" s="235"/>
      <c r="GK321" s="235"/>
      <c r="GL321" s="235"/>
      <c r="GM321" s="235"/>
      <c r="GN321" s="235"/>
      <c r="GO321" s="235"/>
      <c r="GP321" s="235"/>
      <c r="GQ321" s="235"/>
      <c r="GR321" s="235"/>
      <c r="GS321" s="235"/>
      <c r="GT321" s="235"/>
      <c r="GU321" s="235"/>
      <c r="GV321" s="235"/>
      <c r="GW321" s="235"/>
      <c r="GX321" s="235"/>
      <c r="GY321" s="235"/>
      <c r="GZ321" s="235"/>
      <c r="HA321" s="235"/>
      <c r="HB321" s="235"/>
      <c r="HC321" s="235"/>
      <c r="HD321" s="235"/>
      <c r="HE321" s="235"/>
      <c r="HF321" s="235"/>
      <c r="HG321" s="235"/>
      <c r="HH321" s="235"/>
      <c r="HI321" s="235"/>
      <c r="HJ321" s="235"/>
      <c r="HK321" s="235"/>
      <c r="HL321" s="235"/>
      <c r="HM321" s="235"/>
      <c r="HN321" s="235"/>
      <c r="HO321" s="235"/>
      <c r="HP321" s="235"/>
      <c r="HQ321" s="235"/>
    </row>
  </sheetData>
  <sheetProtection sheet="1" objects="1" scenarios="1" formatColumns="0" formatRows="0" insertColumns="0" insertRows="0" deleteColumns="0" deleteRows="0" sort="0" autoFilter="0" pivotTables="0"/>
  <autoFilter ref="B10:HM301" xr:uid="{A288FF47-38CB-6940-AC4D-C7D8FC7D4AF9}"/>
  <mergeCells count="1">
    <mergeCell ref="C9:F9"/>
  </mergeCells>
  <conditionalFormatting sqref="B11:B301">
    <cfRule type="containsBlanks" dxfId="82" priority="3">
      <formula>LEN(TRIM(B11))=0</formula>
    </cfRule>
    <cfRule type="notContainsBlanks" dxfId="81" priority="4">
      <formula>LEN(TRIM(B11))&gt;0</formula>
    </cfRule>
  </conditionalFormatting>
  <conditionalFormatting sqref="C11:C301">
    <cfRule type="containsText" dxfId="80" priority="145" operator="containsText" text="Show">
      <formula>NOT(ISERROR(SEARCH("Show",C11)))</formula>
    </cfRule>
    <cfRule type="containsText" dxfId="79" priority="144" operator="containsText" text="Always show">
      <formula>NOT(ISERROR(SEARCH("Always show",C11)))</formula>
    </cfRule>
    <cfRule type="containsText" dxfId="78" priority="146" operator="containsText" text="Hide">
      <formula>NOT(ISERROR(SEARCH("Hide",C11)))</formula>
    </cfRule>
  </conditionalFormatting>
  <conditionalFormatting sqref="D5:D7 F5:F7 E20:E22 E26:E34 E37:E39 E41 E43:E47 E49:E54 E56:E62 E64:E141 E143:E151 E153:E156 E158:E162 E165 E167 E169:E182 E186:E203 E205 E207:E221 E224:E230 E232:E234 E236 E238:E240 E243:E249 E252 E254:E255 E257:E265 E267:E294 E301">
    <cfRule type="containsBlanks" dxfId="77" priority="2">
      <formula>LEN(TRIM(D5))=0</formula>
    </cfRule>
  </conditionalFormatting>
  <conditionalFormatting sqref="E142">
    <cfRule type="containsText" dxfId="76" priority="36" operator="containsText" text="Execution">
      <formula>NOT(ISERROR(SEARCH("Execution",E142)))</formula>
    </cfRule>
    <cfRule type="containsText" dxfId="75" priority="37" operator="containsText" text="Products">
      <formula>NOT(ISERROR(SEARCH("Products",E142)))</formula>
    </cfRule>
    <cfRule type="containsText" dxfId="74" priority="38" operator="containsText" text="Submittals">
      <formula>NOT(ISERROR(SEARCH("Submittals",E142)))</formula>
    </cfRule>
    <cfRule type="containsText" dxfId="73" priority="39" operator="containsText" text="Mandatory">
      <formula>NOT(ISERROR(SEARCH("Mandatory",E142)))</formula>
    </cfRule>
    <cfRule type="containsText" dxfId="72" priority="40" operator="containsText" text="Optional">
      <formula>NOT(ISERROR(SEARCH("Optional",E142)))</formula>
    </cfRule>
  </conditionalFormatting>
  <conditionalFormatting sqref="E152">
    <cfRule type="containsText" dxfId="71" priority="31" operator="containsText" text="Execution">
      <formula>NOT(ISERROR(SEARCH("Execution",E152)))</formula>
    </cfRule>
    <cfRule type="containsText" dxfId="70" priority="33" operator="containsText" text="Submittals">
      <formula>NOT(ISERROR(SEARCH("Submittals",E152)))</formula>
    </cfRule>
    <cfRule type="containsText" dxfId="69" priority="34" operator="containsText" text="Mandatory">
      <formula>NOT(ISERROR(SEARCH("Mandatory",E152)))</formula>
    </cfRule>
    <cfRule type="containsText" dxfId="68" priority="35" operator="containsText" text="Optional">
      <formula>NOT(ISERROR(SEARCH("Optional",E152)))</formula>
    </cfRule>
    <cfRule type="containsText" dxfId="67" priority="32" operator="containsText" text="Products">
      <formula>NOT(ISERROR(SEARCH("Products",E152)))</formula>
    </cfRule>
  </conditionalFormatting>
  <conditionalFormatting sqref="E153:E156 E158:E162 D5:D7 F5:F7 E20:E22 E26:E34 E37:E39 E41 E43:E47 E49:E54 E56:E62 E64:E141 E143:E151 E165 E167 E169:E182 E186:E203 E205 E207:E221 E224:E230 E232:E234 E236 E238:E240 E243:E249 E252 E254:E255 E257:E265 E267:E294 E301">
    <cfRule type="notContainsBlanks" dxfId="66" priority="160">
      <formula>LEN(TRIM(D5))&gt;0</formula>
    </cfRule>
  </conditionalFormatting>
  <conditionalFormatting sqref="E153:E156">
    <cfRule type="containsBlanks" dxfId="65" priority="30">
      <formula>LEN(TRIM(E153))=0</formula>
    </cfRule>
  </conditionalFormatting>
  <conditionalFormatting sqref="E157">
    <cfRule type="containsText" dxfId="64" priority="25" operator="containsText" text="Execution">
      <formula>NOT(ISERROR(SEARCH("Execution",E157)))</formula>
    </cfRule>
    <cfRule type="containsText" dxfId="63" priority="26" operator="containsText" text="Products">
      <formula>NOT(ISERROR(SEARCH("Products",E157)))</formula>
    </cfRule>
    <cfRule type="containsText" dxfId="62" priority="27" operator="containsText" text="Submittals">
      <formula>NOT(ISERROR(SEARCH("Submittals",E157)))</formula>
    </cfRule>
    <cfRule type="containsText" dxfId="61" priority="28" operator="containsText" text="Mandatory">
      <formula>NOT(ISERROR(SEARCH("Mandatory",E157)))</formula>
    </cfRule>
    <cfRule type="containsText" dxfId="60" priority="29" operator="containsText" text="Optional">
      <formula>NOT(ISERROR(SEARCH("Optional",E157)))</formula>
    </cfRule>
  </conditionalFormatting>
  <conditionalFormatting sqref="E158:E162">
    <cfRule type="containsBlanks" dxfId="59" priority="24">
      <formula>LEN(TRIM(E158))=0</formula>
    </cfRule>
  </conditionalFormatting>
  <conditionalFormatting sqref="E161">
    <cfRule type="containsText" dxfId="58" priority="19" operator="containsText" text="Execution">
      <formula>NOT(ISERROR(SEARCH("Execution",E161)))</formula>
    </cfRule>
    <cfRule type="containsText" dxfId="57" priority="20" operator="containsText" text="Products">
      <formula>NOT(ISERROR(SEARCH("Products",E161)))</formula>
    </cfRule>
    <cfRule type="containsText" dxfId="56" priority="21" operator="containsText" text="Submittals">
      <formula>NOT(ISERROR(SEARCH("Submittals",E161)))</formula>
    </cfRule>
    <cfRule type="containsText" dxfId="55" priority="22" operator="containsText" text="Mandatory">
      <formula>NOT(ISERROR(SEARCH("Mandatory",E161)))</formula>
    </cfRule>
    <cfRule type="containsText" dxfId="54" priority="23" operator="containsText" text="Optional">
      <formula>NOT(ISERROR(SEARCH("Optional",E161)))</formula>
    </cfRule>
  </conditionalFormatting>
  <conditionalFormatting sqref="F12:F18 F20:F39 F41:F47 F49:F54 F56:F62 F164:F182 F184:F203 F205 F207:F221 F223:F234 F236:F255 F257:F265 F267:F295 F297:F301">
    <cfRule type="containsText" dxfId="53" priority="51" operator="containsText" text="Submittals">
      <formula>NOT(ISERROR(SEARCH("Submittals",F12)))</formula>
    </cfRule>
  </conditionalFormatting>
  <conditionalFormatting sqref="F64 F20:G22 F19:HM19 G23:FZ24 G25:G36 H26:FZ26 H35:FZ35 G39:FZ39">
    <cfRule type="containsText" dxfId="52" priority="157" operator="containsText" text="Mandatory">
      <formula>NOT(ISERROR(SEARCH("Mandatory",F19)))</formula>
    </cfRule>
  </conditionalFormatting>
  <conditionalFormatting sqref="F64:F162 F12:F18 F20:F39 F41:F47 F49:F54 F56:F62 F164:F182 F184:F203 F205 F207:F221 F223:F234 F236:F255 F257:F265 F267:F295 F297:F301">
    <cfRule type="containsText" dxfId="51" priority="50" operator="containsText" text="Products">
      <formula>NOT(ISERROR(SEARCH("Products",F12)))</formula>
    </cfRule>
    <cfRule type="containsText" dxfId="50" priority="49" operator="containsText" text="Execution">
      <formula>NOT(ISERROR(SEARCH("Execution",F12)))</formula>
    </cfRule>
  </conditionalFormatting>
  <conditionalFormatting sqref="F64:F162">
    <cfRule type="containsText" dxfId="49" priority="48" operator="containsText" text="Submittals">
      <formula>NOT(ISERROR(SEARCH("Submittals",F64)))</formula>
    </cfRule>
  </conditionalFormatting>
  <conditionalFormatting sqref="F65:F74 G164:G301">
    <cfRule type="containsText" dxfId="48" priority="46" operator="containsText" text="Mandatory">
      <formula>NOT(ISERROR(SEARCH("Mandatory",F65)))</formula>
    </cfRule>
    <cfRule type="containsText" dxfId="47" priority="47" operator="containsText" text="Optional">
      <formula>NOT(ISERROR(SEARCH("Optional",F65)))</formula>
    </cfRule>
  </conditionalFormatting>
  <conditionalFormatting sqref="F76:F83">
    <cfRule type="containsText" dxfId="46" priority="43" operator="containsText" text="Submittals">
      <formula>NOT(ISERROR(SEARCH("Submittals",F76)))</formula>
    </cfRule>
    <cfRule type="containsText" dxfId="45" priority="42" operator="containsText" text="Optional">
      <formula>NOT(ISERROR(SEARCH("Optional",F76)))</formula>
    </cfRule>
    <cfRule type="containsText" dxfId="44" priority="41" operator="containsText" text="Mandatory">
      <formula>NOT(ISERROR(SEARCH("Mandatory",F76)))</formula>
    </cfRule>
  </conditionalFormatting>
  <conditionalFormatting sqref="F169:F183">
    <cfRule type="containsText" dxfId="43" priority="147" operator="containsText" text="Mandatory">
      <formula>NOT(ISERROR(SEARCH("Mandatory",F169)))</formula>
    </cfRule>
    <cfRule type="containsText" dxfId="42" priority="148" operator="containsText" text="Optional">
      <formula>NOT(ISERROR(SEARCH("Optional",F169)))</formula>
    </cfRule>
  </conditionalFormatting>
  <conditionalFormatting sqref="F293">
    <cfRule type="containsText" dxfId="41" priority="95" operator="containsText" text="Submittals, Products, Execution">
      <formula>NOT(ISERROR(SEARCH("Submittals, Products, Execution",F293)))</formula>
    </cfRule>
  </conditionalFormatting>
  <conditionalFormatting sqref="F20:G22 G25:G36 G39:FZ39 F64">
    <cfRule type="containsText" dxfId="40" priority="158" operator="containsText" text="Optional">
      <formula>NOT(ISERROR(SEARCH("Optional",F20)))</formula>
    </cfRule>
  </conditionalFormatting>
  <conditionalFormatting sqref="F37:G38">
    <cfRule type="containsText" dxfId="39" priority="54" operator="containsText" text="Optional">
      <formula>NOT(ISERROR(SEARCH("Optional",F37)))</formula>
    </cfRule>
    <cfRule type="containsText" dxfId="38" priority="53" operator="containsText" text="Mandatory">
      <formula>NOT(ISERROR(SEARCH("Mandatory",F37)))</formula>
    </cfRule>
  </conditionalFormatting>
  <conditionalFormatting sqref="F40:G47 F49:G54 F56:G62 F64:F161 G9:K9 F11 G11:G18">
    <cfRule type="containsText" dxfId="37" priority="155" operator="containsText" text="Mandatory">
      <formula>NOT(ISERROR(SEARCH("Mandatory",F9)))</formula>
    </cfRule>
  </conditionalFormatting>
  <conditionalFormatting sqref="F163:G163">
    <cfRule type="containsText" dxfId="36" priority="153" operator="containsText" text="Mandatory">
      <formula>NOT(ISERROR(SEARCH("Mandatory",F163)))</formula>
    </cfRule>
    <cfRule type="containsText" dxfId="35" priority="154" operator="containsText" text="Optional">
      <formula>NOT(ISERROR(SEARCH("Optional",F163)))</formula>
    </cfRule>
  </conditionalFormatting>
  <conditionalFormatting sqref="G64:G162">
    <cfRule type="containsText" dxfId="34" priority="17" operator="containsText" text="Mandatory">
      <formula>NOT(ISERROR(SEARCH("Mandatory",G64)))</formula>
    </cfRule>
    <cfRule type="containsText" dxfId="33" priority="18" operator="containsText" text="Optional">
      <formula>NOT(ISERROR(SEARCH("Optional",G64)))</formula>
    </cfRule>
  </conditionalFormatting>
  <conditionalFormatting sqref="G9:K9 F11 G11:G18 F40:G47 F49:G54 F56:G62 F64:F161">
    <cfRule type="containsText" dxfId="32" priority="156" operator="containsText" text="Optional">
      <formula>NOT(ISERROR(SEARCH("Optional",F9)))</formula>
    </cfRule>
  </conditionalFormatting>
  <conditionalFormatting sqref="GC23:GC24 GC26 GC39">
    <cfRule type="containsText" dxfId="31" priority="78" operator="containsText" text="Optional">
      <formula>NOT(ISERROR(SEARCH("Optional",GC23)))</formula>
    </cfRule>
    <cfRule type="containsText" dxfId="30" priority="77" operator="containsText" text="Mandatory">
      <formula>NOT(ISERROR(SEARCH("Mandatory",GC23)))</formula>
    </cfRule>
  </conditionalFormatting>
  <conditionalFormatting sqref="GC35">
    <cfRule type="containsText" dxfId="29" priority="75" operator="containsText" text="Mandatory">
      <formula>NOT(ISERROR(SEARCH("Mandatory",GC35)))</formula>
    </cfRule>
    <cfRule type="containsText" dxfId="28" priority="76" operator="containsText" text="Optional">
      <formula>NOT(ISERROR(SEARCH("Optional",GC35)))</formula>
    </cfRule>
  </conditionalFormatting>
  <conditionalFormatting sqref="GH23:GH24 GH26 GH39">
    <cfRule type="containsText" dxfId="27" priority="74" operator="containsText" text="Optional">
      <formula>NOT(ISERROR(SEARCH("Optional",GH23)))</formula>
    </cfRule>
    <cfRule type="containsText" dxfId="26" priority="73" operator="containsText" text="Mandatory">
      <formula>NOT(ISERROR(SEARCH("Mandatory",GH23)))</formula>
    </cfRule>
  </conditionalFormatting>
  <conditionalFormatting sqref="GH35">
    <cfRule type="containsText" dxfId="25" priority="71" operator="containsText" text="Mandatory">
      <formula>NOT(ISERROR(SEARCH("Mandatory",GH35)))</formula>
    </cfRule>
    <cfRule type="containsText" dxfId="24" priority="72" operator="containsText" text="Optional">
      <formula>NOT(ISERROR(SEARCH("Optional",GH35)))</formula>
    </cfRule>
  </conditionalFormatting>
  <conditionalFormatting sqref="GM23:GM24 GM26 GM39">
    <cfRule type="containsText" dxfId="23" priority="70" operator="containsText" text="Optional">
      <formula>NOT(ISERROR(SEARCH("Optional",GM23)))</formula>
    </cfRule>
    <cfRule type="containsText" dxfId="22" priority="69" operator="containsText" text="Mandatory">
      <formula>NOT(ISERROR(SEARCH("Mandatory",GM23)))</formula>
    </cfRule>
  </conditionalFormatting>
  <conditionalFormatting sqref="GM35">
    <cfRule type="containsText" dxfId="21" priority="67" operator="containsText" text="Mandatory">
      <formula>NOT(ISERROR(SEARCH("Mandatory",GM35)))</formula>
    </cfRule>
    <cfRule type="containsText" dxfId="20" priority="68" operator="containsText" text="Optional">
      <formula>NOT(ISERROR(SEARCH("Optional",GM35)))</formula>
    </cfRule>
  </conditionalFormatting>
  <conditionalFormatting sqref="HD23:HD24 HD26 HD39">
    <cfRule type="containsText" dxfId="19" priority="65" operator="containsText" text="Mandatory">
      <formula>NOT(ISERROR(SEARCH("Mandatory",HD23)))</formula>
    </cfRule>
    <cfRule type="containsText" dxfId="18" priority="66" operator="containsText" text="Optional">
      <formula>NOT(ISERROR(SEARCH("Optional",HD23)))</formula>
    </cfRule>
  </conditionalFormatting>
  <conditionalFormatting sqref="HD35">
    <cfRule type="containsText" dxfId="17" priority="64" operator="containsText" text="Optional">
      <formula>NOT(ISERROR(SEARCH("Optional",HD35)))</formula>
    </cfRule>
    <cfRule type="containsText" dxfId="16" priority="63" operator="containsText" text="Mandatory">
      <formula>NOT(ISERROR(SEARCH("Mandatory",HD35)))</formula>
    </cfRule>
  </conditionalFormatting>
  <conditionalFormatting sqref="HJ23:HJ24 HJ26 HJ39">
    <cfRule type="containsText" dxfId="15" priority="62" operator="containsText" text="Optional">
      <formula>NOT(ISERROR(SEARCH("Optional",HJ23)))</formula>
    </cfRule>
    <cfRule type="containsText" dxfId="14" priority="61" operator="containsText" text="Mandatory">
      <formula>NOT(ISERROR(SEARCH("Mandatory",HJ23)))</formula>
    </cfRule>
  </conditionalFormatting>
  <conditionalFormatting sqref="HJ35">
    <cfRule type="containsText" dxfId="13" priority="60" operator="containsText" text="Optional">
      <formula>NOT(ISERROR(SEARCH("Optional",HJ35)))</formula>
    </cfRule>
    <cfRule type="containsText" dxfId="12" priority="59" operator="containsText" text="Mandatory">
      <formula>NOT(ISERROR(SEARCH("Mandatory",HJ35)))</formula>
    </cfRule>
  </conditionalFormatting>
  <conditionalFormatting sqref="HL23:HL24 HL26 HL39">
    <cfRule type="containsText" dxfId="11" priority="58" operator="containsText" text="Optional">
      <formula>NOT(ISERROR(SEARCH("Optional",HL23)))</formula>
    </cfRule>
    <cfRule type="containsText" dxfId="10" priority="57" operator="containsText" text="Mandatory">
      <formula>NOT(ISERROR(SEARCH("Mandatory",HL23)))</formula>
    </cfRule>
  </conditionalFormatting>
  <conditionalFormatting sqref="HL35">
    <cfRule type="containsText" dxfId="9" priority="56" operator="containsText" text="Optional">
      <formula>NOT(ISERROR(SEARCH("Optional",HL35)))</formula>
    </cfRule>
    <cfRule type="containsText" dxfId="8" priority="55" operator="containsText" text="Mandatory">
      <formula>NOT(ISERROR(SEARCH("Mandatory",HL35)))</formula>
    </cfRule>
  </conditionalFormatting>
  <dataValidations count="1">
    <dataValidation allowBlank="1" showInputMessage="1" showErrorMessage="1" prompt="If Strategy C is selected but this entry is left blank, the specifications will be programmed to read &quot;Contractor may select three product categories.&quot;" sqref="E210" xr:uid="{1AE19AD3-ACD1-0545-85A4-42775DB8E5BF}"/>
  </dataValidations>
  <pageMargins left="0.7" right="0.7" top="0.75" bottom="0.75" header="0.3" footer="0.3"/>
  <pageSetup orientation="portrait" r:id="rId1"/>
  <ignoredErrors>
    <ignoredError sqref="F287 F60 F33 C173" formula="1"/>
    <ignoredError sqref="BH10" twoDigitTextYear="1"/>
  </ignoredErrors>
  <extLst>
    <ext xmlns:x14="http://schemas.microsoft.com/office/spreadsheetml/2009/9/main" uri="{CCE6A557-97BC-4b89-ADB6-D9C93CAAB3DF}">
      <x14:dataValidations xmlns:xm="http://schemas.microsoft.com/office/excel/2006/main" count="98">
        <x14:dataValidation type="list" allowBlank="1" showInputMessage="1" showErrorMessage="1" xr:uid="{649A7F4F-862C-C444-B5E6-9E8F87893E08}">
          <x14:formula1>
            <xm:f>'3. Dropdowns'!$C$313:$C$316</xm:f>
          </x14:formula1>
          <xm:sqref>E240</xm:sqref>
        </x14:dataValidation>
        <x14:dataValidation type="list" allowBlank="1" showInputMessage="1" showErrorMessage="1" xr:uid="{1CA92480-519F-C443-A84B-746545018498}">
          <x14:formula1>
            <xm:f>'3. Dropdowns'!$C$309:$C$312</xm:f>
          </x14:formula1>
          <xm:sqref>E239</xm:sqref>
        </x14:dataValidation>
        <x14:dataValidation type="list" allowBlank="1" showInputMessage="1" showErrorMessage="1" xr:uid="{8B3B00AB-1515-A246-AFF6-42ABB541547E}">
          <x14:formula1>
            <xm:f>'3. Dropdowns'!$C$306:$C$308</xm:f>
          </x14:formula1>
          <xm:sqref>E238</xm:sqref>
        </x14:dataValidation>
        <x14:dataValidation type="list" allowBlank="1" showInputMessage="1" showErrorMessage="1" xr:uid="{42097F5D-DBF5-4F4E-AAEF-1B182C2E9EB8}">
          <x14:formula1>
            <xm:f>'3. Dropdowns'!$C$304:$C$305</xm:f>
          </x14:formula1>
          <xm:sqref>E236</xm:sqref>
        </x14:dataValidation>
        <x14:dataValidation type="list" allowBlank="1" showInputMessage="1" showErrorMessage="1" xr:uid="{D0AAA14E-6D53-2649-99B1-E4900D4E33E7}">
          <x14:formula1>
            <xm:f>'3. Dropdowns'!$C$301:$C$303</xm:f>
          </x14:formula1>
          <xm:sqref>E234</xm:sqref>
        </x14:dataValidation>
        <x14:dataValidation type="list" allowBlank="1" showInputMessage="1" showErrorMessage="1" xr:uid="{0055D54D-87E5-5C48-B1FD-0C2A1B42E1AE}">
          <x14:formula1>
            <xm:f>'3. Dropdowns'!$C$299:$C$300</xm:f>
          </x14:formula1>
          <xm:sqref>E233</xm:sqref>
        </x14:dataValidation>
        <x14:dataValidation type="list" allowBlank="1" showInputMessage="1" showErrorMessage="1" xr:uid="{F84B7C44-E9DA-3841-8319-C6C38929DCAD}">
          <x14:formula1>
            <xm:f>'3. Dropdowns'!$C$295:$C$298</xm:f>
          </x14:formula1>
          <xm:sqref>E232</xm:sqref>
        </x14:dataValidation>
        <x14:dataValidation type="list" allowBlank="1" showInputMessage="1" showErrorMessage="1" xr:uid="{A7465E8A-3AEB-B44E-987F-326A2EB4AC2C}">
          <x14:formula1>
            <xm:f>'3. Dropdowns'!$C$290:$C$294</xm:f>
          </x14:formula1>
          <xm:sqref>E230</xm:sqref>
        </x14:dataValidation>
        <x14:dataValidation type="list" allowBlank="1" showInputMessage="1" showErrorMessage="1" xr:uid="{B7BD00BF-1765-9649-9C69-878A7380BC66}">
          <x14:formula1>
            <xm:f>'3. Dropdowns'!$C$287:$C$289</xm:f>
          </x14:formula1>
          <xm:sqref>E229</xm:sqref>
        </x14:dataValidation>
        <x14:dataValidation type="list" allowBlank="1" showInputMessage="1" showErrorMessage="1" xr:uid="{516D0DF5-DD70-4846-8A1D-0ED40E0B35EA}">
          <x14:formula1>
            <xm:f>'3. Dropdowns'!$C$282:$C$286</xm:f>
          </x14:formula1>
          <xm:sqref>E228</xm:sqref>
        </x14:dataValidation>
        <x14:dataValidation type="list" allowBlank="1" showInputMessage="1" showErrorMessage="1" xr:uid="{C0CB8098-5A3D-3347-A4A9-F8056DADE094}">
          <x14:formula1>
            <xm:f>'3. Dropdowns'!$C$280:$C$281</xm:f>
          </x14:formula1>
          <xm:sqref>E227</xm:sqref>
        </x14:dataValidation>
        <x14:dataValidation type="list" allowBlank="1" showInputMessage="1" showErrorMessage="1" xr:uid="{D652D610-87F9-AF45-82CE-6B8C40FE3BD4}">
          <x14:formula1>
            <xm:f>'3. Dropdowns'!$C$271:$C$279</xm:f>
          </x14:formula1>
          <xm:sqref>E226</xm:sqref>
        </x14:dataValidation>
        <x14:dataValidation type="list" allowBlank="1" showInputMessage="1" showErrorMessage="1" xr:uid="{A73EFE63-6D20-1A47-9711-4CA964C132E5}">
          <x14:formula1>
            <xm:f>'3. Dropdowns'!$C$268:$C$270</xm:f>
          </x14:formula1>
          <xm:sqref>E225</xm:sqref>
        </x14:dataValidation>
        <x14:dataValidation type="list" allowBlank="1" showInputMessage="1" showErrorMessage="1" xr:uid="{A5381E0C-9615-5F43-AB74-10E2B81276CC}">
          <x14:formula1>
            <xm:f>'3. Dropdowns'!$C$266:$C$267</xm:f>
          </x14:formula1>
          <xm:sqref>E224</xm:sqref>
        </x14:dataValidation>
        <x14:dataValidation type="list" allowBlank="1" showInputMessage="1" showErrorMessage="1" xr:uid="{664685D5-2389-3444-A13F-1160607EDDDF}">
          <x14:formula1>
            <xm:f>'3. Dropdowns'!$C$264:$C$265</xm:f>
          </x14:formula1>
          <xm:sqref>E221</xm:sqref>
        </x14:dataValidation>
        <x14:dataValidation type="list" allowBlank="1" showInputMessage="1" showErrorMessage="1" prompt="If Strategy E is selected but this entry is left blank, the specifications will be programmed to read, &quot;Contractor may select product category.&quot;" xr:uid="{98749390-F10D-6549-BCAC-FE2D89FC4A55}">
          <x14:formula1>
            <xm:f>'3. Dropdowns'!$C$253:$C$263</xm:f>
          </x14:formula1>
          <xm:sqref>E213</xm:sqref>
        </x14:dataValidation>
        <x14:dataValidation type="list" allowBlank="1" showInputMessage="1" showErrorMessage="1" xr:uid="{7FDF12E7-104B-2F4A-B6E6-986A09E48AD2}">
          <x14:formula1>
            <xm:f>'3. Dropdowns'!$C$250:$C$252</xm:f>
          </x14:formula1>
          <xm:sqref>E214:E220 E207:E209 E211:E212</xm:sqref>
        </x14:dataValidation>
        <x14:dataValidation type="list" allowBlank="1" showInputMessage="1" showErrorMessage="1" xr:uid="{35C9173A-DBAA-6F42-A73C-55A114A68CDA}">
          <x14:formula1>
            <xm:f>'3. Dropdowns'!$C$248:$C$249</xm:f>
          </x14:formula1>
          <xm:sqref>E205</xm:sqref>
        </x14:dataValidation>
        <x14:dataValidation type="list" allowBlank="1" showInputMessage="1" showErrorMessage="1" xr:uid="{B13E07A4-C357-8F46-B6C0-FAAF06F1106B}">
          <x14:formula1>
            <xm:f>'3. Dropdowns'!$C$244:$C$247</xm:f>
          </x14:formula1>
          <xm:sqref>E203</xm:sqref>
        </x14:dataValidation>
        <x14:dataValidation type="list" allowBlank="1" showInputMessage="1" showErrorMessage="1" xr:uid="{4DC95A46-25AD-414A-9C88-D5E857995690}">
          <x14:formula1>
            <xm:f>'3. Dropdowns'!$C$231:$C$233</xm:f>
          </x14:formula1>
          <xm:sqref>E199</xm:sqref>
        </x14:dataValidation>
        <x14:dataValidation type="list" allowBlank="1" showInputMessage="1" showErrorMessage="1" xr:uid="{AD504856-DCD7-A049-89D6-CF8823CCC994}">
          <x14:formula1>
            <xm:f>'3. Dropdowns'!$C$239:$C$243</xm:f>
          </x14:formula1>
          <xm:sqref>E201</xm:sqref>
        </x14:dataValidation>
        <x14:dataValidation type="list" allowBlank="1" showInputMessage="1" showErrorMessage="1" xr:uid="{ECA41887-A20F-CD4B-9BDF-83AFFB567298}">
          <x14:formula1>
            <xm:f>'3. Dropdowns'!$C$237:$C$238</xm:f>
          </x14:formula1>
          <xm:sqref>E202</xm:sqref>
        </x14:dataValidation>
        <x14:dataValidation type="list" allowBlank="1" showInputMessage="1" showErrorMessage="1" xr:uid="{2B177954-8EFB-1A41-8A55-3B68DE950EEC}">
          <x14:formula1>
            <xm:f>'3. Dropdowns'!$C$234:$C$236</xm:f>
          </x14:formula1>
          <xm:sqref>E200</xm:sqref>
        </x14:dataValidation>
        <x14:dataValidation type="list" allowBlank="1" showInputMessage="1" showErrorMessage="1" xr:uid="{F2CCA5A7-CA57-D648-A205-F46BB16D7999}">
          <x14:formula1>
            <xm:f>'3. Dropdowns'!$C$221:$C$230</xm:f>
          </x14:formula1>
          <xm:sqref>E198</xm:sqref>
        </x14:dataValidation>
        <x14:dataValidation type="list" allowBlank="1" showInputMessage="1" showErrorMessage="1" xr:uid="{6CC6CDFA-4B60-9548-A992-DD2B9DD4E539}">
          <x14:formula1>
            <xm:f>'3. Dropdowns'!$C$217:$C$220</xm:f>
          </x14:formula1>
          <xm:sqref>E197</xm:sqref>
        </x14:dataValidation>
        <x14:dataValidation type="list" allowBlank="1" showInputMessage="1" showErrorMessage="1" xr:uid="{9EF51534-E7B1-D648-A6FD-B5EC82A98980}">
          <x14:formula1>
            <xm:f>'3. Dropdowns'!$C$214:$C$216</xm:f>
          </x14:formula1>
          <xm:sqref>E196</xm:sqref>
        </x14:dataValidation>
        <x14:dataValidation type="list" allowBlank="1" showInputMessage="1" showErrorMessage="1" xr:uid="{6F59654D-16B5-B448-84CD-6C0D394D2B18}">
          <x14:formula1>
            <xm:f>'3. Dropdowns'!$C$212:$C$213</xm:f>
          </x14:formula1>
          <xm:sqref>E195</xm:sqref>
        </x14:dataValidation>
        <x14:dataValidation type="list" allowBlank="1" showInputMessage="1" showErrorMessage="1" xr:uid="{64F7661B-99CE-344D-9934-9340D8DEA08C}">
          <x14:formula1>
            <xm:f>'3. Dropdowns'!$C$209:$C$211</xm:f>
          </x14:formula1>
          <xm:sqref>E194</xm:sqref>
        </x14:dataValidation>
        <x14:dataValidation type="list" allowBlank="1" showInputMessage="1" showErrorMessage="1" xr:uid="{D79214BD-5EF8-BD4B-9986-401293935879}">
          <x14:formula1>
            <xm:f>'3. Dropdowns'!$C$205:$C$208</xm:f>
          </x14:formula1>
          <xm:sqref>E193</xm:sqref>
        </x14:dataValidation>
        <x14:dataValidation type="list" allowBlank="1" showInputMessage="1" showErrorMessage="1" xr:uid="{E4154241-9487-DE45-A384-72EF62DB03CB}">
          <x14:formula1>
            <xm:f>'3. Dropdowns'!$C$203:$C$204</xm:f>
          </x14:formula1>
          <xm:sqref>E192</xm:sqref>
        </x14:dataValidation>
        <x14:dataValidation type="list" allowBlank="1" showInputMessage="1" showErrorMessage="1" xr:uid="{292BD829-3A27-C74A-A0B2-FB4032644056}">
          <x14:formula1>
            <xm:f>'3. Dropdowns'!$C$198:$C$202</xm:f>
          </x14:formula1>
          <xm:sqref>E191</xm:sqref>
        </x14:dataValidation>
        <x14:dataValidation type="list" allowBlank="1" showInputMessage="1" showErrorMessage="1" xr:uid="{0F2F20F6-95BD-5E4C-B17C-46A08E7EFE6B}">
          <x14:formula1>
            <xm:f>'3. Dropdowns'!$C$191:$C$197</xm:f>
          </x14:formula1>
          <xm:sqref>E190</xm:sqref>
        </x14:dataValidation>
        <x14:dataValidation type="list" allowBlank="1" showInputMessage="1" showErrorMessage="1" xr:uid="{A8B81A62-5018-CC45-BAC4-C327175274C8}">
          <x14:formula1>
            <xm:f>'3. Dropdowns'!$C$7:$C$9</xm:f>
          </x14:formula1>
          <xm:sqref>D5</xm:sqref>
        </x14:dataValidation>
        <x14:dataValidation type="list" allowBlank="1" showInputMessage="1" showErrorMessage="1" xr:uid="{6F4AF902-C2BA-754E-8DA3-A172C8381EF9}">
          <x14:formula1>
            <xm:f>'3. Dropdowns'!$C$113:$C$114</xm:f>
          </x14:formula1>
          <xm:sqref>E67 E75 E84 E92 E103 E107 E134 E128 E116 E121</xm:sqref>
        </x14:dataValidation>
        <x14:dataValidation type="list" allowBlank="1" showInputMessage="1" showErrorMessage="1" xr:uid="{F467604A-2993-6942-AA2B-D608EBC92007}">
          <x14:formula1>
            <xm:f>'3. Dropdowns'!$C$111:$C$112</xm:f>
          </x14:formula1>
          <xm:sqref>E66</xm:sqref>
        </x14:dataValidation>
        <x14:dataValidation type="list" allowBlank="1" showInputMessage="1" showErrorMessage="1" xr:uid="{99E88C81-4670-CE41-92E0-93E4DC8F8644}">
          <x14:formula1>
            <xm:f>'3. Dropdowns'!$C$95:$C$96</xm:f>
          </x14:formula1>
          <xm:sqref>E59:E62</xm:sqref>
        </x14:dataValidation>
        <x14:dataValidation type="list" allowBlank="1" showInputMessage="1" showErrorMessage="1" xr:uid="{F5D9F953-9DC9-834B-846A-F2F306222AE5}">
          <x14:formula1>
            <xm:f>'3. Dropdowns'!$C$93:$C$94</xm:f>
          </x14:formula1>
          <xm:sqref>E56:E58</xm:sqref>
        </x14:dataValidation>
        <x14:dataValidation type="list" allowBlank="1" showInputMessage="1" showErrorMessage="1" xr:uid="{550C9A33-5F86-C148-BEDF-9F7931F6A1E1}">
          <x14:formula1>
            <xm:f>'3. Dropdowns'!$C$91:$C$92</xm:f>
          </x14:formula1>
          <xm:sqref>E49:E54</xm:sqref>
        </x14:dataValidation>
        <x14:dataValidation type="list" allowBlank="1" showInputMessage="1" showErrorMessage="1" xr:uid="{5DDF2C7C-EB06-C640-A83B-3A8AD75A5683}">
          <x14:formula1>
            <xm:f>'3. Dropdowns'!$C$189:$C$190</xm:f>
          </x14:formula1>
          <xm:sqref>E189</xm:sqref>
        </x14:dataValidation>
        <x14:dataValidation type="list" allowBlank="1" showInputMessage="1" showErrorMessage="1" prompt="Substantial rehabs without a historic designation must meet the 0.30 CFM50/sfbe target. Moderate rehabs and substantial rehabs WITH a historic designation may select any of the other three options." xr:uid="{9577D368-21D8-BC42-A16D-C832EFFF1CC0}">
          <x14:formula1>
            <xm:f>'3. Dropdowns'!$C$185:$C$188</xm:f>
          </x14:formula1>
          <xm:sqref>E188</xm:sqref>
        </x14:dataValidation>
        <x14:dataValidation type="list" allowBlank="1" showInputMessage="1" showErrorMessage="1" xr:uid="{18117892-ABD9-CB43-8921-C30A06523C6D}">
          <x14:formula1>
            <xm:f>'3. Dropdowns'!$C$175:$C$181</xm:f>
          </x14:formula1>
          <xm:sqref>E186</xm:sqref>
        </x14:dataValidation>
        <x14:dataValidation type="list" allowBlank="1" showInputMessage="1" showErrorMessage="1" xr:uid="{593C9F48-8B0D-1A44-8128-A25E715E633D}">
          <x14:formula1>
            <xm:f>'3. Dropdowns'!$C$171:$C$174</xm:f>
          </x14:formula1>
          <xm:sqref>E182:E183 E266 E256 E235 E296</xm:sqref>
        </x14:dataValidation>
        <x14:dataValidation type="list" allowBlank="1" showInputMessage="1" showErrorMessage="1" xr:uid="{97D7A193-AAE0-8047-BF73-A68CC3527102}">
          <x14:formula1>
            <xm:f>'3. Dropdowns'!$C$166:$C$170</xm:f>
          </x14:formula1>
          <xm:sqref>E181</xm:sqref>
        </x14:dataValidation>
        <x14:dataValidation type="list" allowBlank="1" showInputMessage="1" showErrorMessage="1" xr:uid="{8191695A-4698-7B4E-83E4-1A9B80657DDC}">
          <x14:formula1>
            <xm:f>'3. Dropdowns'!$C$161:$C$165</xm:f>
          </x14:formula1>
          <xm:sqref>E180</xm:sqref>
        </x14:dataValidation>
        <x14:dataValidation type="list" allowBlank="1" showInputMessage="1" showErrorMessage="1" xr:uid="{259B28AE-CE7E-7A42-9FE5-05CBF3499DE5}">
          <x14:formula1>
            <xm:f>'3. Dropdowns'!$C$154:$C$156</xm:f>
          </x14:formula1>
          <xm:sqref>E173</xm:sqref>
        </x14:dataValidation>
        <x14:dataValidation type="list" allowBlank="1" showInputMessage="1" showErrorMessage="1" xr:uid="{05BEC6F6-8989-AC4C-B59A-5258AA516AE7}">
          <x14:formula1>
            <xm:f>'3. Dropdowns'!$C$150:$C$153</xm:f>
          </x14:formula1>
          <xm:sqref>E172</xm:sqref>
        </x14:dataValidation>
        <x14:dataValidation type="list" allowBlank="1" showInputMessage="1" showErrorMessage="1" xr:uid="{D7410E0F-67B8-6540-A0FC-048195153A7A}">
          <x14:formula1>
            <xm:f>'3. Dropdowns'!$C$78:$C$81</xm:f>
          </x14:formula1>
          <xm:sqref>E45</xm:sqref>
        </x14:dataValidation>
        <x14:dataValidation type="list" allowBlank="1" showInputMessage="1" showErrorMessage="1" xr:uid="{272F6388-2DA1-1A43-9A1F-8C996676C025}">
          <x14:formula1>
            <xm:f>'3. Dropdowns'!$C$139:$C$146</xm:f>
          </x14:formula1>
          <xm:sqref>E170</xm:sqref>
        </x14:dataValidation>
        <x14:dataValidation type="list" allowBlank="1" showInputMessage="1" showErrorMessage="1" xr:uid="{8E883AA8-E38C-BA46-B609-1CB376FE76F1}">
          <x14:formula1>
            <xm:f>'3. Dropdowns'!$C$132:$C$137</xm:f>
          </x14:formula1>
          <xm:sqref>E169</xm:sqref>
        </x14:dataValidation>
        <x14:dataValidation type="list" allowBlank="1" showInputMessage="1" showErrorMessage="1" xr:uid="{091124FE-C9F9-1B41-AE12-062522FE3990}">
          <x14:formula1>
            <xm:f>'3. Dropdowns'!$C$130:$C$131</xm:f>
          </x14:formula1>
          <xm:sqref>E167</xm:sqref>
        </x14:dataValidation>
        <x14:dataValidation type="list" allowBlank="1" showInputMessage="1" showErrorMessage="1" xr:uid="{50E4D838-F61D-3145-A908-599F0FF5E648}">
          <x14:formula1>
            <xm:f>'3. Dropdowns'!$C$124:$C$126</xm:f>
          </x14:formula1>
          <xm:sqref>E162:E163</xm:sqref>
        </x14:dataValidation>
        <x14:dataValidation type="list" allowBlank="1" showInputMessage="1" showErrorMessage="1" xr:uid="{8C614F85-2FC6-8B4D-9D0A-58F6EB0CDCF3}">
          <x14:formula1>
            <xm:f>'3. Dropdowns'!$C$117:$C$120</xm:f>
          </x14:formula1>
          <xm:sqref>E141</xm:sqref>
        </x14:dataValidation>
        <x14:dataValidation type="list" allowBlank="1" showInputMessage="1" showErrorMessage="1" xr:uid="{56887B8B-C12C-F74D-8FC0-ECC89B2E75AE}">
          <x14:formula1>
            <xm:f>'3. Dropdowns'!$C$104:$C$110</xm:f>
          </x14:formula1>
          <xm:sqref>E65</xm:sqref>
        </x14:dataValidation>
        <x14:dataValidation type="list" allowBlank="1" showInputMessage="1" showErrorMessage="1" xr:uid="{006DD655-3FAE-D44B-96B2-BCC14E0B1E48}">
          <x14:formula1>
            <xm:f>'3. Dropdowns'!$C$97:$C$103</xm:f>
          </x14:formula1>
          <xm:sqref>E64</xm:sqref>
        </x14:dataValidation>
        <x14:dataValidation type="list" allowBlank="1" showInputMessage="1" showErrorMessage="1" xr:uid="{92A6A175-A3B7-7948-859A-0BE0809C7ADF}">
          <x14:formula1>
            <xm:f>'3. Dropdowns'!$C$86:$C$90</xm:f>
          </x14:formula1>
          <xm:sqref>E47</xm:sqref>
        </x14:dataValidation>
        <x14:dataValidation type="list" allowBlank="1" showInputMessage="1" showErrorMessage="1" xr:uid="{5F58ECFF-2377-8540-AD10-FC24CC4D701F}">
          <x14:formula1>
            <xm:f>'3. Dropdowns'!$C$82:$C$86</xm:f>
          </x14:formula1>
          <xm:sqref>E46</xm:sqref>
        </x14:dataValidation>
        <x14:dataValidation type="list" allowBlank="1" showInputMessage="1" showErrorMessage="1" xr:uid="{39000E81-A4B1-4041-A1B5-DE5CB4F9BD2C}">
          <x14:formula1>
            <xm:f>'3. Dropdowns'!$C$69:$C$72</xm:f>
          </x14:formula1>
          <xm:sqref>E43</xm:sqref>
        </x14:dataValidation>
        <x14:dataValidation type="list" allowBlank="1" showInputMessage="1" showErrorMessage="1" xr:uid="{F655CCDD-94C7-8C4B-BC9C-3E8E2935A1AE}">
          <x14:formula1>
            <xm:f>'3. Dropdowns'!$C$67:$C$68</xm:f>
          </x14:formula1>
          <xm:sqref>E41</xm:sqref>
        </x14:dataValidation>
        <x14:dataValidation type="list" allowBlank="1" showInputMessage="1" showErrorMessage="1" xr:uid="{55136600-AEA6-474C-9FB9-599AC512BA93}">
          <x14:formula1>
            <xm:f>'3. Dropdowns'!$C$63:$C$64</xm:f>
          </x14:formula1>
          <xm:sqref>E38</xm:sqref>
        </x14:dataValidation>
        <x14:dataValidation type="list" allowBlank="1" showInputMessage="1" showErrorMessage="1" xr:uid="{2C0DC451-CC95-F54A-95CB-7BEF9BB7D54D}">
          <x14:formula1>
            <xm:f>'3. Dropdowns'!$C$61:$C$62</xm:f>
          </x14:formula1>
          <xm:sqref>E37</xm:sqref>
        </x14:dataValidation>
        <x14:dataValidation type="list" allowBlank="1" showInputMessage="1" showErrorMessage="1" xr:uid="{36A335D0-2222-0248-A6B6-CBF2C307FB9F}">
          <x14:formula1>
            <xm:f>'3. Dropdowns'!$C$46:$C$47</xm:f>
          </x14:formula1>
          <xm:sqref>E22</xm:sqref>
        </x14:dataValidation>
        <x14:dataValidation type="list" allowBlank="1" showInputMessage="1" showErrorMessage="1" xr:uid="{3CDCB8BA-E844-A44A-98D8-64C40D345DC8}">
          <x14:formula1>
            <xm:f>'3. Dropdowns'!$C$44:$C$45</xm:f>
          </x14:formula1>
          <xm:sqref>E21</xm:sqref>
        </x14:dataValidation>
        <x14:dataValidation type="list" allowBlank="1" showInputMessage="1" showErrorMessage="1" xr:uid="{99D63C8A-BE55-C243-BF06-9D793B57698A}">
          <x14:formula1>
            <xm:f>'3. Dropdowns'!$C$10:$C$12</xm:f>
          </x14:formula1>
          <xm:sqref>F5</xm:sqref>
        </x14:dataValidation>
        <x14:dataValidation type="list" allowBlank="1" showInputMessage="1" showErrorMessage="1" xr:uid="{6A3DEB1C-83C0-C44E-8CB3-019442205618}">
          <x14:formula1>
            <xm:f>'3. Dropdowns'!$C$13:$C$16</xm:f>
          </x14:formula1>
          <xm:sqref>D6</xm:sqref>
        </x14:dataValidation>
        <x14:dataValidation type="list" allowBlank="1" showInputMessage="1" showErrorMessage="1" xr:uid="{4E3B3335-F0AB-C640-9800-FD207515A021}">
          <x14:formula1>
            <xm:f>'3. Dropdowns'!$C$37:$C$39</xm:f>
          </x14:formula1>
          <xm:sqref>F7</xm:sqref>
        </x14:dataValidation>
        <x14:dataValidation type="list" allowBlank="1" showInputMessage="1" showErrorMessage="1" xr:uid="{06D0C734-C53F-0741-B152-7E0F09156F56}">
          <x14:formula1>
            <xm:f>'3. Dropdowns'!$C$17:$C$20</xm:f>
          </x14:formula1>
          <xm:sqref>D7</xm:sqref>
        </x14:dataValidation>
        <x14:dataValidation type="list" allowBlank="1" showInputMessage="1" showErrorMessage="1" xr:uid="{A07FBA59-CCA8-C242-AF02-527384E491A2}">
          <x14:formula1>
            <xm:f>'3. Dropdowns'!$C$21:$C$36</xm:f>
          </x14:formula1>
          <xm:sqref>F6</xm:sqref>
        </x14:dataValidation>
        <x14:dataValidation type="list" allowBlank="1" showInputMessage="1" showErrorMessage="1" xr:uid="{20D5B0D3-91C0-3D46-B40B-C88EB507BA66}">
          <x14:formula1>
            <xm:f>'3. Dropdowns'!$C$127:$C$129</xm:f>
          </x14:formula1>
          <xm:sqref>E165</xm:sqref>
        </x14:dataValidation>
        <x14:dataValidation type="list" allowBlank="1" showInputMessage="1" showErrorMessage="1" xr:uid="{37CF9E78-511C-F242-8C52-FC6F0B6725CE}">
          <x14:formula1>
            <xm:f>'3. Dropdowns'!$C$317:$C$324</xm:f>
          </x14:formula1>
          <xm:sqref>E243</xm:sqref>
        </x14:dataValidation>
        <x14:dataValidation type="list" allowBlank="1" showInputMessage="1" showErrorMessage="1" xr:uid="{9FBB467B-74CD-9D4D-9C28-FD7ABC0E2C10}">
          <x14:formula1>
            <xm:f>'3. Dropdowns'!$C$325:$C$326</xm:f>
          </x14:formula1>
          <xm:sqref>E244</xm:sqref>
        </x14:dataValidation>
        <x14:dataValidation type="list" allowBlank="1" showInputMessage="1" showErrorMessage="1" xr:uid="{2143BD65-9018-C648-8A4F-3916C2BDE8AE}">
          <x14:formula1>
            <xm:f>'3. Dropdowns'!$C$327:$C$328</xm:f>
          </x14:formula1>
          <xm:sqref>E245</xm:sqref>
        </x14:dataValidation>
        <x14:dataValidation type="list" allowBlank="1" showInputMessage="1" showErrorMessage="1" xr:uid="{D09043B8-51E5-A14B-9EA0-F855EBF4BD44}">
          <x14:formula1>
            <xm:f>'3. Dropdowns'!$C$329:$C$331</xm:f>
          </x14:formula1>
          <xm:sqref>E246</xm:sqref>
        </x14:dataValidation>
        <x14:dataValidation type="list" allowBlank="1" showInputMessage="1" showErrorMessage="1" xr:uid="{631C31F1-4242-FD4B-801B-F5E7DAA3A159}">
          <x14:formula1>
            <xm:f>'3. Dropdowns'!$C$332:$C$335</xm:f>
          </x14:formula1>
          <xm:sqref>E247</xm:sqref>
        </x14:dataValidation>
        <x14:dataValidation type="list" allowBlank="1" showInputMessage="1" showErrorMessage="1" xr:uid="{C0255F28-186E-1C48-8E4A-93C312286EE6}">
          <x14:formula1>
            <xm:f>'3. Dropdowns'!$C$336:$C$340</xm:f>
          </x14:formula1>
          <xm:sqref>E248</xm:sqref>
        </x14:dataValidation>
        <x14:dataValidation type="list" allowBlank="1" showInputMessage="1" showErrorMessage="1" xr:uid="{ED086BA1-68A4-EE4E-8AF5-681DC423005D}">
          <x14:formula1>
            <xm:f>'3. Dropdowns'!$C$341:$C$342</xm:f>
          </x14:formula1>
          <xm:sqref>E249</xm:sqref>
        </x14:dataValidation>
        <x14:dataValidation type="list" allowBlank="1" showInputMessage="1" showErrorMessage="1" xr:uid="{48136170-7665-F443-B295-8DEB82C0FAA8}">
          <x14:formula1>
            <xm:f>'3. Dropdowns'!$C$343:$C$346</xm:f>
          </x14:formula1>
          <xm:sqref>E252</xm:sqref>
        </x14:dataValidation>
        <x14:dataValidation type="list" allowBlank="1" showInputMessage="1" showErrorMessage="1" xr:uid="{DDC13AAC-2194-8C43-92AB-E30F9DCC2B48}">
          <x14:formula1>
            <xm:f>'3. Dropdowns'!$C$347:$C$350</xm:f>
          </x14:formula1>
          <xm:sqref>E254</xm:sqref>
        </x14:dataValidation>
        <x14:dataValidation type="list" allowBlank="1" showInputMessage="1" showErrorMessage="1" xr:uid="{BF4D1951-29FF-1C41-93EA-A45264CB55B4}">
          <x14:formula1>
            <xm:f>'3. Dropdowns'!$C$351:$C$356</xm:f>
          </x14:formula1>
          <xm:sqref>E255</xm:sqref>
        </x14:dataValidation>
        <x14:dataValidation type="list" allowBlank="1" showInputMessage="1" showErrorMessage="1" xr:uid="{BAAF8670-482E-DD47-9257-05F573188FDB}">
          <x14:formula1>
            <xm:f>'3. Dropdowns'!$C$357:$C$358</xm:f>
          </x14:formula1>
          <xm:sqref>E257:E264</xm:sqref>
        </x14:dataValidation>
        <x14:dataValidation type="list" allowBlank="1" showInputMessage="1" showErrorMessage="1" xr:uid="{6ED1162A-5432-AB4F-809E-84D59F99227E}">
          <x14:formula1>
            <xm:f>'3. Dropdowns'!$C$359:$C$361</xm:f>
          </x14:formula1>
          <xm:sqref>E265</xm:sqref>
        </x14:dataValidation>
        <x14:dataValidation type="list" allowBlank="1" showInputMessage="1" showErrorMessage="1" xr:uid="{ADD8A5B6-260C-7548-882F-9626BDFEBF6D}">
          <x14:formula1>
            <xm:f>'3. Dropdowns'!$C$362:$C$363</xm:f>
          </x14:formula1>
          <xm:sqref>E267:E282</xm:sqref>
        </x14:dataValidation>
        <x14:dataValidation type="list" allowBlank="1" showInputMessage="1" showErrorMessage="1" xr:uid="{C5E70B9A-3DDE-4D26-BD14-B6244C28CFA4}">
          <x14:formula1>
            <xm:f>'3. Dropdowns'!$C$364:$C$367</xm:f>
          </x14:formula1>
          <xm:sqref>E283</xm:sqref>
        </x14:dataValidation>
        <x14:dataValidation type="list" allowBlank="1" showInputMessage="1" showErrorMessage="1" xr:uid="{1DE40BCA-B9C3-49A7-91FF-CFB2BE1236B8}">
          <x14:formula1>
            <xm:f>'3. Dropdowns'!$C$368:$C$369</xm:f>
          </x14:formula1>
          <xm:sqref>E284:E292</xm:sqref>
        </x14:dataValidation>
        <x14:dataValidation type="list" allowBlank="1" showInputMessage="1" showErrorMessage="1" xr:uid="{DC8089A0-7428-4220-BA76-28F4545C6288}">
          <x14:formula1>
            <xm:f>'3. Dropdowns'!$C$370:$C$377</xm:f>
          </x14:formula1>
          <xm:sqref>E293</xm:sqref>
        </x14:dataValidation>
        <x14:dataValidation type="list" allowBlank="1" showInputMessage="1" showErrorMessage="1" prompt="Buildings that include stairs as the only means to travel from one floor to another cannot earn points under Option 1 of this Criterion." xr:uid="{AAD82E70-926D-45B8-A0C2-6805F1314DEE}">
          <x14:formula1>
            <xm:f>'3. Dropdowns'!$C$378:$C$382</xm:f>
          </x14:formula1>
          <xm:sqref>E294</xm:sqref>
        </x14:dataValidation>
        <x14:dataValidation type="list" allowBlank="1" showInputMessage="1" showErrorMessage="1" xr:uid="{A24C43A5-7243-4296-8872-307AAB23594D}">
          <x14:formula1>
            <xm:f>'3. Dropdowns'!$C$383:$C$389</xm:f>
          </x14:formula1>
          <xm:sqref>E301</xm:sqref>
        </x14:dataValidation>
        <x14:dataValidation type="list" allowBlank="1" showInputMessage="1" showErrorMessage="1" xr:uid="{EB19166D-6FB1-F441-8D18-37156746BF42}">
          <x14:formula1>
            <xm:f>'3. Dropdowns'!$C$115:$C$116</xm:f>
          </x14:formula1>
          <xm:sqref>E68:E74 E76:E83 E85:E91 E104:E106 E108:E115 E117:E120 E135:E140 E129:E133 E122:E127 E143:E151 E153:E156 E158:E160 E93:E102</xm:sqref>
        </x14:dataValidation>
        <x14:dataValidation type="list" allowBlank="1" showInputMessage="1" showErrorMessage="1" xr:uid="{9C73A42B-0F8C-8144-B6B6-5A96E6DF476B}">
          <x14:formula1>
            <xm:f>'3. Dropdowns'!$C$121:$C$123</xm:f>
          </x14:formula1>
          <xm:sqref>E161</xm:sqref>
        </x14:dataValidation>
        <x14:dataValidation type="list" allowBlank="1" showInputMessage="1" showErrorMessage="1" xr:uid="{DF279C25-9ED9-4A40-BDF9-31872F7B9DBA}">
          <x14:formula1>
            <xm:f>'3. Dropdowns'!$C$48:$C$50</xm:f>
          </x14:formula1>
          <xm:sqref>E26</xm:sqref>
        </x14:dataValidation>
        <x14:dataValidation type="list" allowBlank="1" showInputMessage="1" showErrorMessage="1" prompt="When Criterion 2.6 is used for optional points, only strategies that require additions to the specifications appear in this matrix." xr:uid="{4CE0011B-4669-4084-B5BA-A41FD21C5F24}">
          <x14:formula1>
            <xm:f>'3. Dropdowns'!$C$51:$C$58</xm:f>
          </x14:formula1>
          <xm:sqref>E27</xm:sqref>
        </x14:dataValidation>
        <x14:dataValidation type="list" allowBlank="1" showInputMessage="1" showErrorMessage="1" xr:uid="{8A71FF37-138A-4191-8271-E925D2CA77B2}">
          <x14:formula1>
            <xm:f>'3. Dropdowns'!$C$59:$C$60</xm:f>
          </x14:formula1>
          <xm:sqref>E28:E32 E34</xm:sqref>
        </x14:dataValidation>
        <x14:dataValidation type="list" allowBlank="1" showInputMessage="1" showErrorMessage="1" xr:uid="{528A09E4-8D73-4388-93B3-81268BB2CF15}">
          <x14:formula1>
            <xm:f>'3. Dropdowns'!$C$65:$C$66</xm:f>
          </x14:formula1>
          <xm:sqref>E39</xm:sqref>
        </x14:dataValidation>
        <x14:dataValidation type="list" allowBlank="1" showInputMessage="1" showErrorMessage="1" xr:uid="{5023EE37-BF56-40D5-B173-245F0C288E8E}">
          <x14:formula1>
            <xm:f>'3. Dropdowns'!$C$157:$C$158</xm:f>
          </x14:formula1>
          <xm:sqref>E174</xm:sqref>
        </x14:dataValidation>
        <x14:dataValidation type="list" allowBlank="1" showInputMessage="1" showErrorMessage="1" xr:uid="{B0319903-8AFC-4226-A463-B5BF50AFA451}">
          <x14:formula1>
            <xm:f>'3. Dropdowns'!$C$159:$C$160</xm:f>
          </x14:formula1>
          <xm:sqref>E175:E179</xm:sqref>
        </x14:dataValidation>
        <x14:dataValidation type="list" allowBlank="1" showInputMessage="1" showErrorMessage="1" xr:uid="{031BCCE7-43E8-8A4B-A4D1-78E06DA4D35B}">
          <x14:formula1>
            <xm:f>'3. Dropdowns'!$C$147:$C$149</xm:f>
          </x14:formula1>
          <xm:sqref>E171</xm:sqref>
        </x14:dataValidation>
        <x14:dataValidation type="list" allowBlank="1" showInputMessage="1" showErrorMessage="1" xr:uid="{D02ABF53-1022-EB47-9B6A-E153DD6B2EDD}">
          <x14:formula1>
            <xm:f>'3. Dropdowns'!$C$182:$C$184</xm:f>
          </x14:formula1>
          <xm:sqref>E187</xm:sqref>
        </x14:dataValidation>
        <x14:dataValidation type="list" allowBlank="1" showInputMessage="1" showErrorMessage="1" xr:uid="{84161BCC-9991-F44E-BB33-D4F6D0FBA734}">
          <x14:formula1>
            <xm:f>'3. Dropdowns'!$C$73:$C$77</xm:f>
          </x14:formula1>
          <xm:sqref>E44</xm:sqref>
        </x14:dataValidation>
        <x14:dataValidation type="list" allowBlank="1" showInputMessage="1" showErrorMessage="1" xr:uid="{306B9071-07FF-1141-8DE1-24C96F7BDD2B}">
          <x14:formula1>
            <xm:f>'3. Dropdowns'!$C$42:$C$43</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E6138-34D8-4924-AB83-E5251953FDD0}">
  <sheetPr>
    <pageSetUpPr autoPageBreaks="0" fitToPage="1"/>
  </sheetPr>
  <dimension ref="B1:BK6003"/>
  <sheetViews>
    <sheetView zoomScaleNormal="100" zoomScaleSheetLayoutView="100" workbookViewId="0">
      <pane ySplit="10" topLeftCell="A11" activePane="bottomLeft" state="frozen"/>
      <selection pane="bottomLeft"/>
    </sheetView>
  </sheetViews>
  <sheetFormatPr defaultColWidth="8.85546875" defaultRowHeight="15" outlineLevelRow="2"/>
  <cols>
    <col min="1" max="1" width="1.7109375" style="11" customWidth="1"/>
    <col min="2" max="2" width="1.85546875" style="11" hidden="1" customWidth="1"/>
    <col min="3" max="3" width="14.7109375" style="13" customWidth="1"/>
    <col min="4" max="4" width="6.42578125" style="11" customWidth="1"/>
    <col min="5" max="5" width="4.7109375" style="11" customWidth="1"/>
    <col min="6" max="6" width="3.28515625" style="11" customWidth="1"/>
    <col min="7" max="7" width="2.85546875" style="11" customWidth="1"/>
    <col min="8" max="8" width="77.140625" style="75" customWidth="1"/>
    <col min="9" max="9" width="16.28515625" style="11" customWidth="1"/>
    <col min="10" max="16384" width="8.85546875" style="11"/>
  </cols>
  <sheetData>
    <row r="1" spans="2:15" ht="6.95" customHeight="1">
      <c r="B1" s="12"/>
    </row>
    <row r="2" spans="2:15" s="31" customFormat="1" ht="23.25">
      <c r="B2" s="33"/>
      <c r="C2" s="325" t="s">
        <v>543</v>
      </c>
      <c r="H2" s="34"/>
    </row>
    <row r="3" spans="2:15" ht="8.1" customHeight="1">
      <c r="B3" s="12"/>
      <c r="C3" s="92"/>
    </row>
    <row r="4" spans="2:15" ht="18.75">
      <c r="B4" s="12"/>
      <c r="C4" s="362" t="s">
        <v>2970</v>
      </c>
      <c r="D4" s="363"/>
      <c r="E4" s="363"/>
      <c r="F4" s="363"/>
      <c r="G4" s="363"/>
      <c r="H4" s="364"/>
    </row>
    <row r="5" spans="2:15" ht="18.75">
      <c r="B5" s="12"/>
      <c r="C5" s="365" t="s">
        <v>2971</v>
      </c>
      <c r="D5" s="366"/>
      <c r="E5" s="366"/>
      <c r="F5" s="366"/>
      <c r="G5" s="366"/>
      <c r="H5" s="367"/>
    </row>
    <row r="6" spans="2:15" ht="18.75">
      <c r="B6" s="12"/>
      <c r="C6" s="368" t="s">
        <v>2975</v>
      </c>
      <c r="D6" s="366"/>
      <c r="E6" s="366"/>
      <c r="F6" s="366"/>
      <c r="G6" s="366"/>
      <c r="H6" s="367"/>
    </row>
    <row r="7" spans="2:15" ht="18.75">
      <c r="B7" s="12"/>
      <c r="C7" s="369" t="s">
        <v>2973</v>
      </c>
      <c r="D7" s="366"/>
      <c r="E7" s="366"/>
      <c r="F7" s="366"/>
      <c r="G7" s="366"/>
      <c r="H7" s="367"/>
    </row>
    <row r="8" spans="2:15" ht="18.75">
      <c r="B8" s="12"/>
      <c r="C8" s="370" t="s">
        <v>3076</v>
      </c>
      <c r="D8" s="371"/>
      <c r="E8" s="371"/>
      <c r="F8" s="371"/>
      <c r="G8" s="371"/>
      <c r="H8" s="372"/>
    </row>
    <row r="9" spans="2:15" ht="8.1" customHeight="1">
      <c r="B9" s="12"/>
    </row>
    <row r="10" spans="2:15" ht="21">
      <c r="B10" s="91" t="s">
        <v>398</v>
      </c>
      <c r="C10" s="37" t="s">
        <v>93</v>
      </c>
      <c r="D10" s="373" t="s">
        <v>577</v>
      </c>
      <c r="E10" s="133"/>
      <c r="F10" s="134"/>
      <c r="G10" s="134"/>
      <c r="H10" s="135"/>
    </row>
    <row r="11" spans="2:15">
      <c r="B11" s="76"/>
      <c r="C11" s="7" t="s">
        <v>116</v>
      </c>
      <c r="D11" s="38" t="s">
        <v>544</v>
      </c>
      <c r="E11" s="39"/>
      <c r="F11" s="40"/>
      <c r="G11" s="40"/>
      <c r="H11" s="41"/>
    </row>
    <row r="12" spans="2:15" hidden="1" outlineLevel="1">
      <c r="B12" s="76"/>
      <c r="C12" s="7" t="s">
        <v>116</v>
      </c>
      <c r="D12" s="23" t="s">
        <v>545</v>
      </c>
      <c r="E12" s="13"/>
      <c r="G12" s="13"/>
      <c r="I12" s="87"/>
      <c r="J12" s="81"/>
      <c r="O12" s="81"/>
    </row>
    <row r="13" spans="2:15" hidden="1" outlineLevel="2">
      <c r="B13" s="76"/>
      <c r="C13" s="7" t="s">
        <v>116</v>
      </c>
      <c r="D13" s="12"/>
      <c r="E13" s="11" t="s">
        <v>224</v>
      </c>
      <c r="G13" s="12" t="s">
        <v>128</v>
      </c>
      <c r="I13" s="79"/>
      <c r="J13" s="80"/>
      <c r="O13" s="80"/>
    </row>
    <row r="14" spans="2:15" hidden="1" outlineLevel="2">
      <c r="B14" s="76"/>
      <c r="C14" s="7" t="s">
        <v>116</v>
      </c>
      <c r="E14" s="86" t="s">
        <v>1582</v>
      </c>
      <c r="G14" s="12" t="s">
        <v>1581</v>
      </c>
      <c r="I14" s="79"/>
      <c r="J14" s="80"/>
      <c r="O14" s="80"/>
    </row>
    <row r="15" spans="2:15" hidden="1" outlineLevel="2">
      <c r="B15" s="76"/>
      <c r="C15" s="7" t="s">
        <v>116</v>
      </c>
      <c r="E15" s="86" t="s">
        <v>1583</v>
      </c>
      <c r="G15" s="12" t="s">
        <v>657</v>
      </c>
      <c r="I15" s="79"/>
      <c r="J15" s="80"/>
      <c r="O15" s="80"/>
    </row>
    <row r="16" spans="2:15" hidden="1" outlineLevel="2">
      <c r="B16" s="76" t="s">
        <v>2300</v>
      </c>
      <c r="C16" s="7" t="str">
        <f>C437</f>
        <v>Show</v>
      </c>
      <c r="E16" s="86" t="s">
        <v>1587</v>
      </c>
      <c r="G16" s="12" t="s">
        <v>1585</v>
      </c>
      <c r="I16" s="79"/>
      <c r="J16" s="80"/>
      <c r="O16" s="80"/>
    </row>
    <row r="17" spans="2:15" hidden="1" outlineLevel="2">
      <c r="B17" s="77" t="s">
        <v>2388</v>
      </c>
      <c r="C17" s="7" t="str">
        <f>C467</f>
        <v>Show</v>
      </c>
      <c r="E17" s="27" t="s">
        <v>2007</v>
      </c>
      <c r="G17" s="80" t="s">
        <v>2008</v>
      </c>
      <c r="I17" s="79"/>
      <c r="J17" s="80"/>
      <c r="O17" s="80"/>
    </row>
    <row r="18" spans="2:15" hidden="1" outlineLevel="2">
      <c r="B18" s="77" t="s">
        <v>2389</v>
      </c>
      <c r="C18" s="7" t="str">
        <f>C490</f>
        <v>Show</v>
      </c>
      <c r="E18" s="27" t="s">
        <v>1588</v>
      </c>
      <c r="G18" s="80" t="s">
        <v>1586</v>
      </c>
      <c r="I18" s="27"/>
      <c r="J18" s="80"/>
      <c r="O18" s="80"/>
    </row>
    <row r="19" spans="2:15" hidden="1" outlineLevel="2">
      <c r="B19" s="76"/>
      <c r="C19" s="7" t="s">
        <v>116</v>
      </c>
      <c r="D19" s="12"/>
      <c r="E19" s="11" t="s">
        <v>225</v>
      </c>
      <c r="G19" s="12" t="s">
        <v>226</v>
      </c>
      <c r="I19" s="79"/>
      <c r="J19" s="80"/>
    </row>
    <row r="20" spans="2:15" hidden="1" outlineLevel="2">
      <c r="B20" s="77" t="s">
        <v>2322</v>
      </c>
      <c r="C20" s="2" t="str">
        <f>C525</f>
        <v>Show</v>
      </c>
      <c r="D20" s="12"/>
      <c r="E20" s="11" t="s">
        <v>565</v>
      </c>
      <c r="G20" s="12" t="s">
        <v>566</v>
      </c>
      <c r="I20" s="79"/>
      <c r="J20" s="80"/>
      <c r="O20" s="80"/>
    </row>
    <row r="21" spans="2:15" hidden="1" outlineLevel="2">
      <c r="B21" s="12" t="s">
        <v>2325</v>
      </c>
      <c r="C21" s="2" t="str">
        <f>C540</f>
        <v>Show</v>
      </c>
      <c r="D21" s="12"/>
      <c r="E21" s="11" t="s">
        <v>229</v>
      </c>
      <c r="G21" s="12" t="s">
        <v>567</v>
      </c>
      <c r="I21" s="79"/>
      <c r="J21" s="80"/>
      <c r="O21" s="80"/>
    </row>
    <row r="22" spans="2:15" hidden="1" outlineLevel="2">
      <c r="B22" s="77" t="s">
        <v>2334</v>
      </c>
      <c r="C22" s="2" t="str">
        <f>C567</f>
        <v>Show</v>
      </c>
      <c r="D22" s="12"/>
      <c r="E22" s="27" t="s">
        <v>1591</v>
      </c>
      <c r="G22" s="80" t="s">
        <v>1590</v>
      </c>
      <c r="I22" s="79"/>
      <c r="J22" s="80"/>
      <c r="O22" s="80"/>
    </row>
    <row r="23" spans="2:15" hidden="1" outlineLevel="2">
      <c r="B23" s="76"/>
      <c r="C23" s="7" t="s">
        <v>116</v>
      </c>
      <c r="D23" s="12"/>
      <c r="E23" s="11" t="s">
        <v>230</v>
      </c>
      <c r="G23" s="12" t="s">
        <v>568</v>
      </c>
      <c r="I23" s="79"/>
      <c r="J23" s="80"/>
      <c r="O23" s="80"/>
    </row>
    <row r="24" spans="2:15" hidden="1" outlineLevel="2">
      <c r="B24" s="76"/>
      <c r="C24" s="7" t="s">
        <v>116</v>
      </c>
      <c r="D24" s="12"/>
      <c r="E24" s="11" t="s">
        <v>231</v>
      </c>
      <c r="G24" s="12" t="s">
        <v>569</v>
      </c>
      <c r="I24" s="79"/>
      <c r="J24" s="80"/>
    </row>
    <row r="25" spans="2:15" hidden="1" outlineLevel="2">
      <c r="B25" s="76"/>
      <c r="C25" s="7" t="s">
        <v>116</v>
      </c>
      <c r="D25" s="12"/>
      <c r="E25" s="71" t="s">
        <v>232</v>
      </c>
      <c r="G25" s="11" t="s">
        <v>233</v>
      </c>
      <c r="I25" s="79"/>
      <c r="J25" s="80"/>
      <c r="O25" s="80"/>
    </row>
    <row r="26" spans="2:15" hidden="1" outlineLevel="2">
      <c r="B26" s="11" t="s">
        <v>2353</v>
      </c>
      <c r="C26" s="2" t="str">
        <f>C540</f>
        <v>Show</v>
      </c>
      <c r="D26" s="12"/>
      <c r="E26" s="27" t="s">
        <v>1594</v>
      </c>
      <c r="G26" s="80" t="s">
        <v>1592</v>
      </c>
      <c r="I26" s="79"/>
      <c r="J26" s="80"/>
      <c r="O26" s="80"/>
    </row>
    <row r="27" spans="2:15" hidden="1" outlineLevel="2">
      <c r="B27" s="11" t="s">
        <v>2353</v>
      </c>
      <c r="C27" s="2" t="str">
        <f>C26</f>
        <v>Show</v>
      </c>
      <c r="E27" s="27" t="s">
        <v>1595</v>
      </c>
      <c r="G27" s="80" t="s">
        <v>1593</v>
      </c>
      <c r="I27" s="28"/>
      <c r="O27" s="14"/>
    </row>
    <row r="28" spans="2:15" hidden="1" outlineLevel="1" collapsed="1">
      <c r="B28" s="76" t="s">
        <v>2506</v>
      </c>
      <c r="C28" s="7" t="str">
        <f>IF(COUNTIF(C29:C37,"Show")&gt;0,"Show","Hide")</f>
        <v>Show</v>
      </c>
      <c r="D28" s="14" t="s">
        <v>546</v>
      </c>
      <c r="E28" s="27"/>
      <c r="G28" s="80"/>
      <c r="I28" s="28"/>
      <c r="O28" s="80"/>
    </row>
    <row r="29" spans="2:15" hidden="1" outlineLevel="2">
      <c r="B29" s="77" t="s">
        <v>2355</v>
      </c>
      <c r="C29" s="7" t="str">
        <f>C1737</f>
        <v>Show</v>
      </c>
      <c r="D29" s="14"/>
      <c r="E29" s="27" t="s">
        <v>1615</v>
      </c>
      <c r="G29" s="80" t="s">
        <v>1596</v>
      </c>
      <c r="I29" s="87"/>
      <c r="J29" s="14"/>
      <c r="O29" s="80"/>
    </row>
    <row r="30" spans="2:15" hidden="1" outlineLevel="2">
      <c r="B30" s="12" t="s">
        <v>1379</v>
      </c>
      <c r="C30" s="2" t="str">
        <f>C1751</f>
        <v>Show</v>
      </c>
      <c r="E30" s="27" t="s">
        <v>1616</v>
      </c>
      <c r="F30" s="27"/>
      <c r="G30" s="80" t="s">
        <v>1597</v>
      </c>
      <c r="I30" s="79"/>
      <c r="J30" s="80"/>
      <c r="O30" s="80"/>
    </row>
    <row r="31" spans="2:15" hidden="1" outlineLevel="2">
      <c r="B31" s="12" t="s">
        <v>1040</v>
      </c>
      <c r="C31" s="2" t="str">
        <f>C1766</f>
        <v>Show</v>
      </c>
      <c r="E31" s="27" t="s">
        <v>1617</v>
      </c>
      <c r="F31" s="27"/>
      <c r="G31" s="80" t="s">
        <v>1598</v>
      </c>
      <c r="I31" s="79"/>
      <c r="J31" s="80"/>
      <c r="O31" s="81"/>
    </row>
    <row r="32" spans="2:15" hidden="1" outlineLevel="2">
      <c r="B32" s="12" t="s">
        <v>2361</v>
      </c>
      <c r="C32" s="2" t="str">
        <f>C1781</f>
        <v>Show</v>
      </c>
      <c r="E32" s="27" t="s">
        <v>1618</v>
      </c>
      <c r="F32" s="27"/>
      <c r="G32" s="80" t="s">
        <v>1599</v>
      </c>
      <c r="I32" s="79"/>
      <c r="J32" s="80"/>
      <c r="O32" s="80"/>
    </row>
    <row r="33" spans="2:15" hidden="1" outlineLevel="2">
      <c r="B33" s="12" t="s">
        <v>2361</v>
      </c>
      <c r="C33" s="2" t="str">
        <f>C1781</f>
        <v>Show</v>
      </c>
      <c r="E33" s="27" t="s">
        <v>234</v>
      </c>
      <c r="F33" s="27"/>
      <c r="G33" s="80" t="s">
        <v>235</v>
      </c>
      <c r="I33" s="88"/>
      <c r="J33" s="81"/>
      <c r="O33" s="80"/>
    </row>
    <row r="34" spans="2:15" hidden="1" outlineLevel="2">
      <c r="B34" s="12" t="s">
        <v>2374</v>
      </c>
      <c r="C34" s="2" t="str">
        <f>C1811</f>
        <v>Show</v>
      </c>
      <c r="E34" s="27" t="s">
        <v>236</v>
      </c>
      <c r="F34" s="27"/>
      <c r="G34" s="80" t="s">
        <v>1600</v>
      </c>
      <c r="I34" s="79"/>
      <c r="J34" s="80"/>
      <c r="O34" s="80"/>
    </row>
    <row r="35" spans="2:15" hidden="1" outlineLevel="2">
      <c r="B35" s="12" t="s">
        <v>1040</v>
      </c>
      <c r="C35" s="2" t="str">
        <f>C31</f>
        <v>Show</v>
      </c>
      <c r="E35" s="27" t="s">
        <v>237</v>
      </c>
      <c r="F35" s="27"/>
      <c r="G35" s="80" t="s">
        <v>238</v>
      </c>
      <c r="I35" s="79"/>
      <c r="J35" s="80"/>
      <c r="O35" s="80"/>
    </row>
    <row r="36" spans="2:15" hidden="1" outlineLevel="2">
      <c r="B36" s="12" t="s">
        <v>1040</v>
      </c>
      <c r="C36" s="2" t="str">
        <f>C35</f>
        <v>Show</v>
      </c>
      <c r="E36" s="27" t="s">
        <v>1619</v>
      </c>
      <c r="F36" s="27"/>
      <c r="G36" s="80" t="s">
        <v>1601</v>
      </c>
      <c r="I36" s="79"/>
      <c r="J36" s="80"/>
      <c r="O36" s="80"/>
    </row>
    <row r="37" spans="2:15" hidden="1" outlineLevel="2">
      <c r="B37" s="12" t="s">
        <v>1040</v>
      </c>
      <c r="C37" s="2" t="str">
        <f>C36</f>
        <v>Show</v>
      </c>
      <c r="E37" s="27" t="s">
        <v>1620</v>
      </c>
      <c r="F37" s="27"/>
      <c r="G37" s="80" t="s">
        <v>1602</v>
      </c>
      <c r="I37" s="79"/>
      <c r="J37" s="80"/>
      <c r="O37" s="81"/>
    </row>
    <row r="38" spans="2:15" hidden="1" outlineLevel="1" collapsed="1">
      <c r="B38" s="76" t="s">
        <v>2410</v>
      </c>
      <c r="C38" s="7" t="str">
        <f>IF(OR(C39="Show",C40="Show",C41="Show",C42="Show"),"Show","Hide")</f>
        <v>Show</v>
      </c>
      <c r="D38" s="14" t="s">
        <v>547</v>
      </c>
      <c r="E38" s="86"/>
      <c r="F38" s="12"/>
      <c r="G38" s="12"/>
      <c r="I38" s="88"/>
      <c r="J38" s="81"/>
      <c r="O38" s="80"/>
    </row>
    <row r="39" spans="2:15" hidden="1" outlineLevel="2">
      <c r="B39" s="12" t="s">
        <v>2393</v>
      </c>
      <c r="C39" s="2" t="str">
        <f>C1904</f>
        <v>Show</v>
      </c>
      <c r="E39" s="27" t="s">
        <v>1622</v>
      </c>
      <c r="F39" s="27"/>
      <c r="G39" s="80" t="s">
        <v>1603</v>
      </c>
      <c r="O39" s="81"/>
    </row>
    <row r="40" spans="2:15" hidden="1" outlineLevel="2">
      <c r="B40" s="12" t="s">
        <v>2403</v>
      </c>
      <c r="C40" s="2" t="str">
        <f>C1925</f>
        <v>Show</v>
      </c>
      <c r="E40" s="27" t="s">
        <v>239</v>
      </c>
      <c r="F40" s="27"/>
      <c r="G40" s="80" t="s">
        <v>1604</v>
      </c>
      <c r="O40" s="81"/>
    </row>
    <row r="41" spans="2:15" hidden="1" outlineLevel="2">
      <c r="B41" s="12" t="s">
        <v>2403</v>
      </c>
      <c r="C41" s="2" t="str">
        <f>C1925</f>
        <v>Show</v>
      </c>
      <c r="E41" s="27" t="s">
        <v>1623</v>
      </c>
      <c r="F41" s="27"/>
      <c r="G41" s="80" t="s">
        <v>1605</v>
      </c>
      <c r="O41" s="81"/>
    </row>
    <row r="42" spans="2:15" hidden="1" outlineLevel="2">
      <c r="B42" s="12" t="s">
        <v>2403</v>
      </c>
      <c r="C42" s="2" t="str">
        <f>C1925</f>
        <v>Show</v>
      </c>
      <c r="E42" s="27" t="s">
        <v>1624</v>
      </c>
      <c r="F42" s="27"/>
      <c r="G42" s="80" t="s">
        <v>1606</v>
      </c>
      <c r="O42" s="81"/>
    </row>
    <row r="43" spans="2:15" hidden="1" outlineLevel="1" collapsed="1">
      <c r="B43" s="76" t="s">
        <v>2507</v>
      </c>
      <c r="C43" s="7" t="str">
        <f>IF(COUNTIF(C44:C46,"Show")&gt;0,"Show","Hide")</f>
        <v>Show</v>
      </c>
      <c r="D43" s="14" t="s">
        <v>548</v>
      </c>
      <c r="E43" s="86"/>
      <c r="F43" s="12"/>
      <c r="G43" s="12"/>
      <c r="O43" s="81"/>
    </row>
    <row r="44" spans="2:15" hidden="1" outlineLevel="2">
      <c r="B44" s="12" t="s">
        <v>2411</v>
      </c>
      <c r="C44" s="2" t="str">
        <f>C2008</f>
        <v>Show</v>
      </c>
      <c r="E44" s="27" t="s">
        <v>240</v>
      </c>
      <c r="F44" s="27"/>
      <c r="G44" s="80" t="s">
        <v>241</v>
      </c>
      <c r="O44" s="80"/>
    </row>
    <row r="45" spans="2:15" hidden="1" outlineLevel="2">
      <c r="B45" s="12" t="s">
        <v>2411</v>
      </c>
      <c r="C45" s="2" t="str">
        <f>C2008</f>
        <v>Show</v>
      </c>
      <c r="E45" s="27" t="s">
        <v>1793</v>
      </c>
      <c r="F45" s="27"/>
      <c r="G45" s="80" t="s">
        <v>1794</v>
      </c>
      <c r="O45" s="80"/>
    </row>
    <row r="46" spans="2:15" hidden="1" outlineLevel="2">
      <c r="B46" s="12" t="s">
        <v>2412</v>
      </c>
      <c r="C46" s="2" t="str">
        <f>C2042</f>
        <v>Show</v>
      </c>
      <c r="E46" s="27" t="s">
        <v>242</v>
      </c>
      <c r="F46" s="27"/>
      <c r="G46" s="80" t="s">
        <v>243</v>
      </c>
      <c r="O46" s="81"/>
    </row>
    <row r="47" spans="2:15" hidden="1" outlineLevel="1" collapsed="1">
      <c r="B47" s="76" t="s">
        <v>2531</v>
      </c>
      <c r="C47" s="7" t="str">
        <f>IF(COUNTIF(C48:C55,"Show")&gt;0,"Show","Hide")</f>
        <v>Show</v>
      </c>
      <c r="D47" s="14" t="s">
        <v>549</v>
      </c>
      <c r="E47" s="86"/>
      <c r="F47" s="12"/>
      <c r="G47" s="12"/>
      <c r="O47" s="81"/>
    </row>
    <row r="48" spans="2:15" hidden="1" outlineLevel="2">
      <c r="B48" s="12" t="s">
        <v>2513</v>
      </c>
      <c r="C48" s="2" t="str">
        <f>C2063</f>
        <v>Show</v>
      </c>
      <c r="E48" s="27" t="s">
        <v>244</v>
      </c>
      <c r="F48" s="27"/>
      <c r="G48" s="80" t="s">
        <v>245</v>
      </c>
      <c r="I48" s="88"/>
      <c r="J48" s="81"/>
      <c r="O48" s="80"/>
    </row>
    <row r="49" spans="2:15" hidden="1" outlineLevel="2">
      <c r="B49" s="12" t="s">
        <v>2514</v>
      </c>
      <c r="C49" s="2" t="str">
        <f>C2078</f>
        <v>Show</v>
      </c>
      <c r="E49" s="27" t="s">
        <v>246</v>
      </c>
      <c r="F49" s="27"/>
      <c r="G49" s="80" t="s">
        <v>247</v>
      </c>
      <c r="I49" s="88"/>
      <c r="J49" s="81"/>
      <c r="O49" s="80"/>
    </row>
    <row r="50" spans="2:15" hidden="1" outlineLevel="2">
      <c r="B50" s="12" t="s">
        <v>2534</v>
      </c>
      <c r="C50" s="2" t="str">
        <f>C2093</f>
        <v>Show</v>
      </c>
      <c r="E50" s="27" t="s">
        <v>248</v>
      </c>
      <c r="F50" s="27"/>
      <c r="G50" s="80" t="s">
        <v>249</v>
      </c>
      <c r="I50" s="88"/>
      <c r="J50" s="81"/>
      <c r="O50" s="80"/>
    </row>
    <row r="51" spans="2:15" hidden="1" outlineLevel="2">
      <c r="B51" s="12" t="s">
        <v>2537</v>
      </c>
      <c r="C51" s="2" t="str">
        <f>C2110</f>
        <v>Show</v>
      </c>
      <c r="E51" s="27" t="s">
        <v>1627</v>
      </c>
      <c r="F51" s="27"/>
      <c r="G51" s="80" t="s">
        <v>1607</v>
      </c>
      <c r="I51" s="88"/>
      <c r="J51" s="81"/>
      <c r="O51" s="80"/>
    </row>
    <row r="52" spans="2:15" hidden="1" outlineLevel="2">
      <c r="B52" s="12" t="s">
        <v>2541</v>
      </c>
      <c r="C52" s="2" t="str">
        <f>C2127</f>
        <v>Show</v>
      </c>
      <c r="E52" s="27" t="s">
        <v>1628</v>
      </c>
      <c r="F52" s="27"/>
      <c r="G52" s="80" t="s">
        <v>250</v>
      </c>
      <c r="I52" s="88"/>
      <c r="J52" s="81"/>
      <c r="O52" s="80"/>
    </row>
    <row r="53" spans="2:15" hidden="1" outlineLevel="2">
      <c r="B53" s="12" t="s">
        <v>2537</v>
      </c>
      <c r="C53" s="2" t="str">
        <f>C2150</f>
        <v>Show</v>
      </c>
      <c r="E53" s="27" t="s">
        <v>1629</v>
      </c>
      <c r="F53" s="27"/>
      <c r="G53" s="80" t="s">
        <v>1608</v>
      </c>
      <c r="I53" s="88"/>
      <c r="J53" s="81"/>
      <c r="O53" s="80"/>
    </row>
    <row r="54" spans="2:15" hidden="1" outlineLevel="2">
      <c r="B54" s="12" t="s">
        <v>2514</v>
      </c>
      <c r="C54" s="2" t="str">
        <f>C2167</f>
        <v>Show</v>
      </c>
      <c r="E54" s="27" t="s">
        <v>251</v>
      </c>
      <c r="F54" s="27"/>
      <c r="G54" s="80" t="s">
        <v>252</v>
      </c>
      <c r="I54" s="88"/>
      <c r="J54" s="81"/>
      <c r="O54" s="80"/>
    </row>
    <row r="55" spans="2:15" hidden="1" outlineLevel="2">
      <c r="B55" s="12" t="s">
        <v>2544</v>
      </c>
      <c r="C55" s="2" t="str">
        <f>C2182</f>
        <v>Show</v>
      </c>
      <c r="E55" s="27" t="s">
        <v>1630</v>
      </c>
      <c r="F55" s="27"/>
      <c r="G55" s="80" t="s">
        <v>1609</v>
      </c>
      <c r="I55" s="88"/>
      <c r="J55" s="81"/>
      <c r="O55" s="80"/>
    </row>
    <row r="56" spans="2:15" hidden="1" outlineLevel="1" collapsed="1">
      <c r="B56" s="76"/>
      <c r="C56" s="7" t="s">
        <v>116</v>
      </c>
      <c r="D56" s="14" t="s">
        <v>550</v>
      </c>
      <c r="E56" s="86"/>
      <c r="F56" s="12"/>
      <c r="G56" s="12"/>
      <c r="O56" s="80"/>
    </row>
    <row r="57" spans="2:15" hidden="1" outlineLevel="2">
      <c r="B57" s="23"/>
      <c r="C57" s="2" t="s">
        <v>116</v>
      </c>
      <c r="E57" s="27" t="s">
        <v>1778</v>
      </c>
      <c r="F57" s="27"/>
      <c r="G57" s="80" t="s">
        <v>1779</v>
      </c>
      <c r="O57" s="80"/>
    </row>
    <row r="58" spans="2:15" hidden="1" outlineLevel="2">
      <c r="B58" s="12" t="s">
        <v>2554</v>
      </c>
      <c r="C58" s="2" t="str">
        <f>C2226</f>
        <v>Show</v>
      </c>
      <c r="E58" s="27" t="s">
        <v>1632</v>
      </c>
      <c r="F58" s="27"/>
      <c r="G58" s="80" t="s">
        <v>1610</v>
      </c>
      <c r="O58" s="80"/>
    </row>
    <row r="59" spans="2:15" hidden="1" outlineLevel="2">
      <c r="B59" s="23"/>
      <c r="C59" s="2" t="s">
        <v>116</v>
      </c>
      <c r="E59" s="27" t="s">
        <v>1633</v>
      </c>
      <c r="F59" s="27"/>
      <c r="G59" s="80" t="s">
        <v>1611</v>
      </c>
      <c r="O59" s="81"/>
    </row>
    <row r="60" spans="2:15" hidden="1" outlineLevel="2">
      <c r="B60" s="12" t="s">
        <v>2661</v>
      </c>
      <c r="C60" s="2" t="str">
        <f>C2264</f>
        <v>Show</v>
      </c>
      <c r="E60" s="27" t="s">
        <v>253</v>
      </c>
      <c r="F60" s="27"/>
      <c r="G60" s="80" t="s">
        <v>254</v>
      </c>
      <c r="O60" s="80"/>
    </row>
    <row r="61" spans="2:15" hidden="1" outlineLevel="2">
      <c r="B61" s="12" t="s">
        <v>2661</v>
      </c>
      <c r="C61" s="2" t="str">
        <f>C2285</f>
        <v>Show</v>
      </c>
      <c r="E61" s="27" t="s">
        <v>1792</v>
      </c>
      <c r="F61" s="27"/>
      <c r="G61" s="80" t="s">
        <v>1791</v>
      </c>
      <c r="O61" s="80"/>
    </row>
    <row r="62" spans="2:15" hidden="1" outlineLevel="2">
      <c r="B62" s="12" t="s">
        <v>2661</v>
      </c>
      <c r="C62" s="2" t="str">
        <f>C2318</f>
        <v>Show</v>
      </c>
      <c r="E62" s="27" t="s">
        <v>1634</v>
      </c>
      <c r="F62" s="27"/>
      <c r="G62" s="80" t="s">
        <v>1612</v>
      </c>
      <c r="O62" s="80"/>
    </row>
    <row r="63" spans="2:15" hidden="1" outlineLevel="2">
      <c r="B63" s="12" t="s">
        <v>2661</v>
      </c>
      <c r="C63" s="2" t="str">
        <f>C2335</f>
        <v>Show</v>
      </c>
      <c r="E63" s="27" t="s">
        <v>255</v>
      </c>
      <c r="F63" s="27"/>
      <c r="G63" s="80" t="s">
        <v>256</v>
      </c>
      <c r="O63" s="80"/>
    </row>
    <row r="64" spans="2:15" hidden="1" outlineLevel="2">
      <c r="B64" s="12" t="s">
        <v>2661</v>
      </c>
      <c r="C64" s="2" t="str">
        <f>C2360</f>
        <v>Show</v>
      </c>
      <c r="E64" s="27" t="s">
        <v>257</v>
      </c>
      <c r="F64" s="27"/>
      <c r="G64" s="80" t="s">
        <v>258</v>
      </c>
      <c r="O64" s="80"/>
    </row>
    <row r="65" spans="2:15" hidden="1" outlineLevel="2">
      <c r="B65" s="12" t="s">
        <v>2661</v>
      </c>
      <c r="C65" s="2" t="str">
        <f>C2385</f>
        <v>Show</v>
      </c>
      <c r="E65" s="27" t="s">
        <v>1635</v>
      </c>
      <c r="F65" s="27"/>
      <c r="G65" s="80" t="s">
        <v>1613</v>
      </c>
      <c r="O65" s="80"/>
    </row>
    <row r="66" spans="2:15" hidden="1" outlineLevel="2">
      <c r="B66" s="12" t="s">
        <v>2661</v>
      </c>
      <c r="C66" s="2" t="str">
        <f>C2402</f>
        <v>Show</v>
      </c>
      <c r="E66" s="27" t="s">
        <v>259</v>
      </c>
      <c r="F66" s="27"/>
      <c r="G66" s="80" t="s">
        <v>260</v>
      </c>
      <c r="O66" s="80"/>
    </row>
    <row r="67" spans="2:15" hidden="1" outlineLevel="2">
      <c r="B67" s="23"/>
      <c r="C67" s="2" t="s">
        <v>116</v>
      </c>
      <c r="E67" s="27" t="s">
        <v>261</v>
      </c>
      <c r="F67" s="27"/>
      <c r="G67" s="80" t="s">
        <v>262</v>
      </c>
      <c r="O67" s="80"/>
    </row>
    <row r="68" spans="2:15" hidden="1" outlineLevel="2">
      <c r="B68" s="12" t="s">
        <v>2661</v>
      </c>
      <c r="C68" s="2" t="str">
        <f>C2442</f>
        <v>Show</v>
      </c>
      <c r="E68" s="27" t="s">
        <v>1636</v>
      </c>
      <c r="F68" s="27"/>
      <c r="G68" s="80" t="s">
        <v>1614</v>
      </c>
      <c r="O68" s="80"/>
    </row>
    <row r="69" spans="2:15" hidden="1" outlineLevel="2">
      <c r="B69" s="12" t="s">
        <v>2661</v>
      </c>
      <c r="C69" s="2" t="str">
        <f t="shared" ref="C69" si="0">C2457</f>
        <v>Show</v>
      </c>
      <c r="E69" s="27" t="s">
        <v>263</v>
      </c>
      <c r="F69" s="27"/>
      <c r="G69" s="80" t="s">
        <v>2014</v>
      </c>
      <c r="O69" s="80"/>
    </row>
    <row r="70" spans="2:15" hidden="1" outlineLevel="2">
      <c r="B70" s="12" t="s">
        <v>2661</v>
      </c>
      <c r="C70" s="2" t="str">
        <f>C2469</f>
        <v>Show</v>
      </c>
      <c r="E70" s="27" t="s">
        <v>1799</v>
      </c>
      <c r="F70" s="27"/>
      <c r="G70" s="80" t="s">
        <v>1800</v>
      </c>
      <c r="O70" s="80"/>
    </row>
    <row r="71" spans="2:15" hidden="1" outlineLevel="2">
      <c r="B71" s="12" t="s">
        <v>2661</v>
      </c>
      <c r="C71" s="2" t="str">
        <f>C2486</f>
        <v>Show</v>
      </c>
      <c r="E71" s="27" t="s">
        <v>264</v>
      </c>
      <c r="F71" s="27"/>
      <c r="G71" s="80" t="s">
        <v>265</v>
      </c>
      <c r="O71" s="80"/>
    </row>
    <row r="72" spans="2:15" hidden="1" outlineLevel="1" collapsed="1">
      <c r="B72" s="76"/>
      <c r="C72" s="7" t="s">
        <v>116</v>
      </c>
      <c r="D72" s="14" t="s">
        <v>551</v>
      </c>
      <c r="E72" s="138"/>
      <c r="F72" s="139"/>
      <c r="G72" s="12"/>
      <c r="I72" s="87"/>
      <c r="J72" s="14"/>
      <c r="O72" s="81"/>
    </row>
    <row r="73" spans="2:15" hidden="1" outlineLevel="2">
      <c r="B73" s="23"/>
      <c r="C73" s="2" t="str">
        <f>C2504</f>
        <v>Show</v>
      </c>
      <c r="E73" s="27" t="s">
        <v>1639</v>
      </c>
      <c r="F73" s="27"/>
      <c r="G73" s="80" t="s">
        <v>1637</v>
      </c>
      <c r="O73" s="80"/>
    </row>
    <row r="74" spans="2:15" hidden="1" outlineLevel="2">
      <c r="B74" s="23"/>
      <c r="C74" s="2" t="str">
        <f t="shared" ref="C74" si="1">C2531</f>
        <v>Show</v>
      </c>
      <c r="E74" s="27" t="s">
        <v>1640</v>
      </c>
      <c r="F74" s="27"/>
      <c r="G74" s="80" t="s">
        <v>1638</v>
      </c>
      <c r="O74" s="81"/>
    </row>
    <row r="75" spans="2:15" hidden="1" outlineLevel="2">
      <c r="B75" s="23"/>
      <c r="C75" s="2" t="str">
        <f>C2568</f>
        <v>Show</v>
      </c>
      <c r="E75" s="71" t="s">
        <v>266</v>
      </c>
      <c r="F75" s="71"/>
      <c r="G75" s="11" t="s">
        <v>267</v>
      </c>
      <c r="O75" s="80"/>
    </row>
    <row r="76" spans="2:15" hidden="1" outlineLevel="2">
      <c r="B76" s="23"/>
      <c r="C76" s="2" t="str">
        <f t="shared" ref="C76" si="2">C2617</f>
        <v>Show</v>
      </c>
      <c r="E76" s="27" t="s">
        <v>268</v>
      </c>
      <c r="F76" s="27"/>
      <c r="G76" s="80" t="s">
        <v>269</v>
      </c>
      <c r="O76" s="80"/>
    </row>
    <row r="77" spans="2:15" hidden="1" outlineLevel="2">
      <c r="B77" s="23"/>
      <c r="C77" s="2" t="str">
        <f>C2644</f>
        <v>Show</v>
      </c>
      <c r="E77" s="27" t="s">
        <v>270</v>
      </c>
      <c r="F77" s="27"/>
      <c r="G77" s="80" t="s">
        <v>271</v>
      </c>
      <c r="O77" s="80"/>
    </row>
    <row r="78" spans="2:15" hidden="1" outlineLevel="2">
      <c r="B78" s="23"/>
      <c r="C78" s="2" t="str">
        <f>C2665</f>
        <v>Show</v>
      </c>
      <c r="E78" s="71" t="s">
        <v>272</v>
      </c>
      <c r="F78" s="71"/>
      <c r="G78" s="11" t="s">
        <v>273</v>
      </c>
      <c r="O78" s="80"/>
    </row>
    <row r="79" spans="2:15" hidden="1" outlineLevel="2">
      <c r="B79" s="23"/>
      <c r="C79" s="2" t="str">
        <f>C2714</f>
        <v>Show</v>
      </c>
      <c r="E79" s="27" t="s">
        <v>1780</v>
      </c>
      <c r="F79" s="27"/>
      <c r="G79" s="80" t="s">
        <v>1781</v>
      </c>
      <c r="I79" s="79"/>
      <c r="J79" s="80"/>
      <c r="O79" s="80"/>
    </row>
    <row r="80" spans="2:15" hidden="1" outlineLevel="2">
      <c r="B80" s="23"/>
      <c r="C80" s="2" t="str">
        <f>C2731</f>
        <v>Show</v>
      </c>
      <c r="E80" s="71" t="s">
        <v>1228</v>
      </c>
      <c r="F80" s="71"/>
      <c r="G80" s="11" t="s">
        <v>592</v>
      </c>
      <c r="I80" s="79"/>
      <c r="J80" s="80"/>
      <c r="O80" s="80"/>
    </row>
    <row r="81" spans="2:15" hidden="1" outlineLevel="2">
      <c r="B81" s="23"/>
      <c r="C81" s="2" t="str">
        <f>C2770</f>
        <v>Show</v>
      </c>
      <c r="E81" s="71" t="s">
        <v>1229</v>
      </c>
      <c r="F81" s="71"/>
      <c r="G81" s="11" t="s">
        <v>593</v>
      </c>
      <c r="I81" s="79"/>
      <c r="J81" s="80"/>
      <c r="O81" s="80"/>
    </row>
    <row r="82" spans="2:15" hidden="1" outlineLevel="2">
      <c r="B82" s="23"/>
      <c r="C82" s="2" t="str">
        <f>C2823</f>
        <v>Show</v>
      </c>
      <c r="E82" s="27" t="s">
        <v>274</v>
      </c>
      <c r="F82" s="27"/>
      <c r="G82" s="80" t="s">
        <v>275</v>
      </c>
      <c r="I82" s="79"/>
      <c r="J82" s="80"/>
      <c r="O82" s="80"/>
    </row>
    <row r="83" spans="2:15" hidden="1" outlineLevel="2">
      <c r="B83" s="23"/>
      <c r="C83" s="2" t="str">
        <f t="shared" ref="C83" si="3">C2878</f>
        <v>Show</v>
      </c>
      <c r="E83" s="71" t="s">
        <v>276</v>
      </c>
      <c r="F83" s="71"/>
      <c r="G83" s="11" t="s">
        <v>594</v>
      </c>
      <c r="I83" s="79"/>
      <c r="J83" s="80"/>
      <c r="O83" s="80"/>
    </row>
    <row r="84" spans="2:15" hidden="1" outlineLevel="2">
      <c r="B84" s="23"/>
      <c r="C84" s="2" t="str">
        <f>C2901</f>
        <v>Show</v>
      </c>
      <c r="E84" s="71" t="s">
        <v>277</v>
      </c>
      <c r="F84" s="71"/>
      <c r="G84" s="11" t="s">
        <v>595</v>
      </c>
      <c r="I84" s="79"/>
      <c r="J84" s="80"/>
      <c r="O84" s="80"/>
    </row>
    <row r="85" spans="2:15" hidden="1" outlineLevel="2">
      <c r="B85" s="23"/>
      <c r="C85" s="2" t="str">
        <f>C2934</f>
        <v>Show</v>
      </c>
      <c r="E85" s="27" t="s">
        <v>1795</v>
      </c>
      <c r="F85" s="27"/>
      <c r="G85" s="80" t="s">
        <v>1796</v>
      </c>
      <c r="I85" s="79"/>
      <c r="J85" s="80"/>
      <c r="O85" s="80"/>
    </row>
    <row r="86" spans="2:15" hidden="1" outlineLevel="2">
      <c r="B86" s="23"/>
      <c r="C86" s="2" t="str">
        <f>C2967</f>
        <v>Show</v>
      </c>
      <c r="E86" s="71" t="s">
        <v>1227</v>
      </c>
      <c r="F86" s="71"/>
      <c r="G86" s="11" t="s">
        <v>596</v>
      </c>
      <c r="I86" s="79"/>
      <c r="J86" s="80"/>
      <c r="O86" s="80"/>
    </row>
    <row r="87" spans="2:15" hidden="1" outlineLevel="2">
      <c r="B87" s="23"/>
      <c r="C87" s="2" t="str">
        <f>C2984</f>
        <v>Show</v>
      </c>
      <c r="E87" s="27" t="s">
        <v>1641</v>
      </c>
      <c r="F87" s="27"/>
      <c r="G87" s="80" t="s">
        <v>278</v>
      </c>
      <c r="I87" s="79"/>
      <c r="J87" s="80"/>
      <c r="O87" s="80"/>
    </row>
    <row r="88" spans="2:15" hidden="1" outlineLevel="1" collapsed="1">
      <c r="B88" s="76"/>
      <c r="C88" s="7" t="s">
        <v>116</v>
      </c>
      <c r="D88" s="14" t="s">
        <v>552</v>
      </c>
      <c r="E88" s="140"/>
      <c r="F88" s="132"/>
      <c r="G88" s="12"/>
      <c r="I88" s="87"/>
      <c r="J88" s="14"/>
      <c r="O88" s="80"/>
    </row>
    <row r="89" spans="2:15" hidden="1" outlineLevel="2">
      <c r="B89" s="23"/>
      <c r="C89" s="2" t="str">
        <f>C2998</f>
        <v>Show</v>
      </c>
      <c r="E89" s="71" t="s">
        <v>279</v>
      </c>
      <c r="G89" s="11" t="s">
        <v>570</v>
      </c>
      <c r="O89" s="80"/>
    </row>
    <row r="90" spans="2:15" hidden="1" outlineLevel="2">
      <c r="B90" s="23"/>
      <c r="C90" s="2" t="str">
        <f>C3059</f>
        <v>Show</v>
      </c>
      <c r="E90" s="27" t="s">
        <v>1647</v>
      </c>
      <c r="G90" s="80" t="s">
        <v>1642</v>
      </c>
      <c r="O90" s="80"/>
    </row>
    <row r="91" spans="2:15" hidden="1" outlineLevel="2">
      <c r="B91" s="23"/>
      <c r="C91" s="2" t="str">
        <f>C3076</f>
        <v>Show</v>
      </c>
      <c r="E91" s="27" t="s">
        <v>1648</v>
      </c>
      <c r="G91" s="80" t="s">
        <v>1643</v>
      </c>
      <c r="O91" s="81"/>
    </row>
    <row r="92" spans="2:15" hidden="1" outlineLevel="2">
      <c r="B92" s="23"/>
      <c r="C92" s="2" t="str">
        <f>C3093</f>
        <v>Show</v>
      </c>
      <c r="E92" s="27" t="s">
        <v>1649</v>
      </c>
      <c r="G92" s="80" t="s">
        <v>1644</v>
      </c>
      <c r="I92" s="79"/>
      <c r="J92" s="80"/>
      <c r="O92" s="81"/>
    </row>
    <row r="93" spans="2:15" hidden="1" outlineLevel="2">
      <c r="B93" s="23"/>
      <c r="C93" s="2" t="str">
        <f>C3110</f>
        <v>Show</v>
      </c>
      <c r="E93" s="27" t="s">
        <v>1650</v>
      </c>
      <c r="G93" s="80" t="s">
        <v>1645</v>
      </c>
      <c r="I93" s="79"/>
      <c r="J93" s="80"/>
      <c r="O93" s="81"/>
    </row>
    <row r="94" spans="2:15" hidden="1" outlineLevel="2">
      <c r="B94" s="23"/>
      <c r="C94" s="2" t="str">
        <f>C3125</f>
        <v>Show</v>
      </c>
      <c r="E94" s="27" t="s">
        <v>1651</v>
      </c>
      <c r="G94" s="80" t="s">
        <v>1646</v>
      </c>
      <c r="I94" s="79"/>
      <c r="J94" s="80"/>
      <c r="O94" s="81"/>
    </row>
    <row r="95" spans="2:15" hidden="1" outlineLevel="2">
      <c r="B95" s="23"/>
      <c r="C95" s="2" t="str">
        <f>C3146</f>
        <v>Show</v>
      </c>
      <c r="E95" s="71" t="s">
        <v>280</v>
      </c>
      <c r="G95" s="11" t="s">
        <v>281</v>
      </c>
      <c r="I95" s="79"/>
      <c r="J95" s="80"/>
      <c r="O95" s="81"/>
    </row>
    <row r="96" spans="2:15" hidden="1" outlineLevel="2">
      <c r="B96" s="23"/>
      <c r="C96" s="2" t="str">
        <f>C3213</f>
        <v>Show</v>
      </c>
      <c r="E96" s="27" t="s">
        <v>1664</v>
      </c>
      <c r="G96" s="80" t="s">
        <v>1652</v>
      </c>
      <c r="I96" s="79"/>
      <c r="J96" s="80"/>
      <c r="O96" s="81"/>
    </row>
    <row r="97" spans="2:15" hidden="1" outlineLevel="2">
      <c r="B97" s="23"/>
      <c r="C97" s="2" t="str">
        <f>C3240</f>
        <v>Show</v>
      </c>
      <c r="E97" s="27" t="s">
        <v>282</v>
      </c>
      <c r="G97" s="80" t="s">
        <v>283</v>
      </c>
      <c r="I97" s="79"/>
      <c r="J97" s="80"/>
      <c r="O97" s="81"/>
    </row>
    <row r="98" spans="2:15" hidden="1" outlineLevel="2">
      <c r="B98" s="23"/>
      <c r="C98" s="2" t="str">
        <f>C3273</f>
        <v>Show</v>
      </c>
      <c r="E98" s="27" t="s">
        <v>2012</v>
      </c>
      <c r="G98" s="80" t="s">
        <v>2013</v>
      </c>
      <c r="I98" s="79"/>
      <c r="J98" s="80"/>
      <c r="O98" s="81"/>
    </row>
    <row r="99" spans="2:15" hidden="1" outlineLevel="2">
      <c r="B99" s="23"/>
      <c r="C99" s="2" t="str">
        <f>C3288</f>
        <v>Show</v>
      </c>
      <c r="E99" s="27" t="s">
        <v>284</v>
      </c>
      <c r="G99" s="80" t="s">
        <v>285</v>
      </c>
      <c r="I99" s="79"/>
      <c r="J99" s="80"/>
      <c r="O99" s="81"/>
    </row>
    <row r="100" spans="2:15" hidden="1" outlineLevel="2">
      <c r="B100" s="23"/>
      <c r="C100" s="2" t="str">
        <f>C3321</f>
        <v>Show</v>
      </c>
      <c r="E100" s="27" t="s">
        <v>1665</v>
      </c>
      <c r="G100" s="80" t="s">
        <v>1653</v>
      </c>
      <c r="I100" s="79"/>
      <c r="J100" s="80"/>
      <c r="O100" s="81"/>
    </row>
    <row r="101" spans="2:15" hidden="1" outlineLevel="1" collapsed="1">
      <c r="B101" s="76"/>
      <c r="C101" s="7" t="s">
        <v>116</v>
      </c>
      <c r="D101" s="14" t="s">
        <v>553</v>
      </c>
      <c r="E101" s="140"/>
      <c r="F101" s="132"/>
      <c r="G101" s="12"/>
      <c r="O101" s="80"/>
    </row>
    <row r="102" spans="2:15" hidden="1" outlineLevel="2">
      <c r="B102" s="23"/>
      <c r="C102" s="2" t="str">
        <f>C3346</f>
        <v>Show</v>
      </c>
      <c r="E102" s="27" t="s">
        <v>286</v>
      </c>
      <c r="F102" s="27"/>
      <c r="G102" s="80" t="s">
        <v>287</v>
      </c>
      <c r="O102" s="80"/>
    </row>
    <row r="103" spans="2:15" hidden="1" outlineLevel="2">
      <c r="B103" s="23"/>
      <c r="C103" s="2" t="str">
        <f>C3369</f>
        <v>Show</v>
      </c>
      <c r="E103" s="27" t="s">
        <v>1667</v>
      </c>
      <c r="F103" s="27"/>
      <c r="G103" s="80" t="s">
        <v>288</v>
      </c>
      <c r="O103" s="80"/>
    </row>
    <row r="104" spans="2:15" hidden="1" outlineLevel="2">
      <c r="B104" s="23"/>
      <c r="C104" s="2" t="str">
        <f t="shared" ref="C104" si="4">C3390</f>
        <v>Show</v>
      </c>
      <c r="E104" s="27" t="s">
        <v>289</v>
      </c>
      <c r="F104" s="27"/>
      <c r="G104" s="80" t="s">
        <v>290</v>
      </c>
      <c r="O104" s="80"/>
    </row>
    <row r="105" spans="2:15" hidden="1" outlineLevel="2">
      <c r="B105" s="23"/>
      <c r="C105" s="2" t="str">
        <f>C3407</f>
        <v>Show</v>
      </c>
      <c r="E105" s="27" t="s">
        <v>291</v>
      </c>
      <c r="F105" s="27"/>
      <c r="G105" s="80" t="s">
        <v>292</v>
      </c>
      <c r="O105" s="80"/>
    </row>
    <row r="106" spans="2:15" hidden="1" outlineLevel="2">
      <c r="B106" s="23"/>
      <c r="C106" s="2" t="str">
        <f>C3438</f>
        <v>Show</v>
      </c>
      <c r="E106" s="27" t="s">
        <v>293</v>
      </c>
      <c r="F106" s="27"/>
      <c r="G106" s="80" t="s">
        <v>571</v>
      </c>
      <c r="O106" s="14"/>
    </row>
    <row r="107" spans="2:15" hidden="1" outlineLevel="2">
      <c r="B107" s="23"/>
      <c r="C107" s="2" t="str">
        <f>C3493</f>
        <v>Show</v>
      </c>
      <c r="E107" s="27" t="s">
        <v>2304</v>
      </c>
      <c r="F107" s="27"/>
      <c r="G107" s="80" t="s">
        <v>2305</v>
      </c>
      <c r="O107" s="80"/>
    </row>
    <row r="108" spans="2:15" hidden="1" outlineLevel="2">
      <c r="B108" s="23"/>
      <c r="C108" s="2" t="str">
        <f>C3510</f>
        <v>Show</v>
      </c>
      <c r="E108" s="27" t="s">
        <v>294</v>
      </c>
      <c r="F108" s="27"/>
      <c r="G108" s="80" t="s">
        <v>295</v>
      </c>
      <c r="O108" s="80"/>
    </row>
    <row r="109" spans="2:15" hidden="1" outlineLevel="2">
      <c r="B109" s="23"/>
      <c r="C109" s="2" t="str">
        <f>C3527</f>
        <v>Show</v>
      </c>
      <c r="E109" s="27" t="s">
        <v>1668</v>
      </c>
      <c r="F109" s="27"/>
      <c r="G109" s="80" t="s">
        <v>1654</v>
      </c>
      <c r="O109" s="80"/>
    </row>
    <row r="110" spans="2:15" hidden="1" outlineLevel="2">
      <c r="B110" s="23"/>
      <c r="C110" s="2" t="str">
        <f>C3568</f>
        <v>Show</v>
      </c>
      <c r="E110" s="27" t="s">
        <v>1669</v>
      </c>
      <c r="F110" s="27"/>
      <c r="G110" s="80" t="s">
        <v>1655</v>
      </c>
      <c r="O110" s="80"/>
    </row>
    <row r="111" spans="2:15" hidden="1" outlineLevel="2">
      <c r="B111" s="23"/>
      <c r="C111" s="2" t="str">
        <f>C3589</f>
        <v>Show</v>
      </c>
      <c r="E111" s="27" t="s">
        <v>1670</v>
      </c>
      <c r="F111" s="27"/>
      <c r="G111" s="80" t="s">
        <v>1656</v>
      </c>
      <c r="O111" s="80"/>
    </row>
    <row r="112" spans="2:15" hidden="1" outlineLevel="2">
      <c r="B112" s="23"/>
      <c r="C112" s="2" t="str">
        <f>C3610</f>
        <v>Show</v>
      </c>
      <c r="E112" s="27" t="s">
        <v>296</v>
      </c>
      <c r="F112" s="27"/>
      <c r="G112" s="80" t="s">
        <v>297</v>
      </c>
      <c r="O112" s="80"/>
    </row>
    <row r="113" spans="2:15" hidden="1" outlineLevel="2">
      <c r="B113" s="23"/>
      <c r="C113" s="2" t="str">
        <f>C3633</f>
        <v>Show</v>
      </c>
      <c r="E113" s="27" t="s">
        <v>1671</v>
      </c>
      <c r="F113" s="27"/>
      <c r="G113" s="80" t="s">
        <v>1657</v>
      </c>
      <c r="O113" s="80"/>
    </row>
    <row r="114" spans="2:15" hidden="1" outlineLevel="1" collapsed="1">
      <c r="B114" s="76"/>
      <c r="C114" s="7" t="s">
        <v>116</v>
      </c>
      <c r="D114" s="14" t="s">
        <v>554</v>
      </c>
      <c r="E114" s="140"/>
      <c r="F114" s="132"/>
      <c r="G114" s="12"/>
      <c r="O114" s="81"/>
    </row>
    <row r="115" spans="2:15" hidden="1" outlineLevel="2">
      <c r="B115" s="23"/>
      <c r="C115" s="2" t="str">
        <f>C3656</f>
        <v>Show</v>
      </c>
      <c r="E115" s="27" t="s">
        <v>298</v>
      </c>
      <c r="F115" s="27"/>
      <c r="G115" s="80" t="s">
        <v>299</v>
      </c>
      <c r="O115" s="81"/>
    </row>
    <row r="116" spans="2:15" hidden="1" outlineLevel="2">
      <c r="B116" s="23"/>
      <c r="C116" s="2" t="str">
        <f t="shared" ref="C116" si="5">C3689</f>
        <v>Show</v>
      </c>
      <c r="E116" s="27" t="s">
        <v>1673</v>
      </c>
      <c r="F116" s="27"/>
      <c r="G116" s="80" t="s">
        <v>1658</v>
      </c>
      <c r="O116" s="81"/>
    </row>
    <row r="117" spans="2:15" hidden="1" outlineLevel="2">
      <c r="B117" s="23"/>
      <c r="C117" s="2" t="str">
        <f>C3706</f>
        <v>Show</v>
      </c>
      <c r="E117" s="27" t="s">
        <v>1674</v>
      </c>
      <c r="F117" s="27"/>
      <c r="G117" s="80" t="s">
        <v>1659</v>
      </c>
      <c r="O117" s="81"/>
    </row>
    <row r="118" spans="2:15" hidden="1" outlineLevel="2">
      <c r="B118" s="23"/>
      <c r="C118" s="2" t="str">
        <f>C3723</f>
        <v>Show</v>
      </c>
      <c r="E118" s="27" t="s">
        <v>1675</v>
      </c>
      <c r="F118" s="27"/>
      <c r="G118" s="80" t="s">
        <v>1660</v>
      </c>
      <c r="O118" s="81"/>
    </row>
    <row r="119" spans="2:15" hidden="1" outlineLevel="2">
      <c r="B119" s="23"/>
      <c r="C119" s="2" t="str">
        <f>C3740</f>
        <v>Show</v>
      </c>
      <c r="E119" s="27" t="s">
        <v>1676</v>
      </c>
      <c r="F119" s="27"/>
      <c r="G119" s="80" t="s">
        <v>1661</v>
      </c>
      <c r="O119" s="81"/>
    </row>
    <row r="120" spans="2:15" hidden="1" outlineLevel="2">
      <c r="B120" s="23"/>
      <c r="C120" s="2" t="str">
        <f>C3757</f>
        <v>Show</v>
      </c>
      <c r="E120" s="27" t="s">
        <v>1677</v>
      </c>
      <c r="F120" s="27"/>
      <c r="G120" s="80" t="s">
        <v>1662</v>
      </c>
      <c r="O120" s="81"/>
    </row>
    <row r="121" spans="2:15" hidden="1" outlineLevel="2">
      <c r="B121" s="23"/>
      <c r="C121" s="2" t="str">
        <f>C3774</f>
        <v>Show</v>
      </c>
      <c r="E121" s="27" t="s">
        <v>1678</v>
      </c>
      <c r="F121" s="27"/>
      <c r="G121" s="80" t="s">
        <v>1663</v>
      </c>
      <c r="O121" s="81"/>
    </row>
    <row r="122" spans="2:15" hidden="1" outlineLevel="2">
      <c r="B122" s="23"/>
      <c r="C122" s="2" t="str">
        <f>C3797</f>
        <v>Show</v>
      </c>
      <c r="E122" s="71" t="s">
        <v>1236</v>
      </c>
      <c r="F122" s="27"/>
      <c r="G122" s="11" t="s">
        <v>1237</v>
      </c>
      <c r="O122" s="81"/>
    </row>
    <row r="123" spans="2:15" hidden="1" outlineLevel="2">
      <c r="B123" s="23"/>
      <c r="C123" s="2" t="str">
        <f>C3814</f>
        <v>Show</v>
      </c>
      <c r="E123" s="27" t="s">
        <v>1230</v>
      </c>
      <c r="F123" s="27"/>
      <c r="G123" s="80" t="s">
        <v>1231</v>
      </c>
      <c r="O123" s="81"/>
    </row>
    <row r="124" spans="2:15" hidden="1" outlineLevel="2">
      <c r="B124" s="23"/>
      <c r="C124" s="2" t="str">
        <f>C3831</f>
        <v>Show</v>
      </c>
      <c r="E124" s="27" t="s">
        <v>2009</v>
      </c>
      <c r="F124" s="27"/>
      <c r="G124" s="80" t="s">
        <v>2010</v>
      </c>
      <c r="O124" s="81"/>
    </row>
    <row r="125" spans="2:15" hidden="1" outlineLevel="2">
      <c r="B125" s="23"/>
      <c r="C125" s="2" t="str">
        <f>C3848</f>
        <v>Show</v>
      </c>
      <c r="E125" s="27" t="s">
        <v>1680</v>
      </c>
      <c r="F125" s="27"/>
      <c r="G125" s="80" t="s">
        <v>1679</v>
      </c>
      <c r="O125" s="81"/>
    </row>
    <row r="126" spans="2:15" hidden="1" outlineLevel="1" collapsed="1">
      <c r="B126" s="76"/>
      <c r="C126" s="7" t="s">
        <v>116</v>
      </c>
      <c r="D126" s="14" t="s">
        <v>555</v>
      </c>
      <c r="E126" s="140"/>
      <c r="F126" s="132"/>
      <c r="G126" s="12"/>
      <c r="I126" s="88"/>
      <c r="J126" s="81"/>
    </row>
    <row r="127" spans="2:15" hidden="1" outlineLevel="2">
      <c r="B127" s="23"/>
      <c r="C127" s="2" t="str">
        <f>C3867</f>
        <v>Show</v>
      </c>
      <c r="D127" s="14"/>
      <c r="E127" s="27" t="s">
        <v>1682</v>
      </c>
      <c r="F127" s="71"/>
      <c r="G127" s="11" t="s">
        <v>1681</v>
      </c>
      <c r="O127" s="80"/>
    </row>
    <row r="128" spans="2:15" hidden="1" outlineLevel="2">
      <c r="B128" s="23"/>
      <c r="C128" s="2" t="str">
        <f t="shared" ref="C128" si="6">C3906</f>
        <v>Show</v>
      </c>
      <c r="D128" s="14"/>
      <c r="E128" s="71" t="s">
        <v>300</v>
      </c>
      <c r="F128" s="27"/>
      <c r="G128" s="11" t="s">
        <v>301</v>
      </c>
      <c r="O128" s="80"/>
    </row>
    <row r="129" spans="2:15" hidden="1" outlineLevel="2">
      <c r="B129" s="23"/>
      <c r="C129" s="2" t="str">
        <f>C3945</f>
        <v>Show</v>
      </c>
      <c r="D129" s="14"/>
      <c r="E129" s="27" t="s">
        <v>1692</v>
      </c>
      <c r="F129" s="27"/>
      <c r="G129" s="80" t="s">
        <v>1683</v>
      </c>
      <c r="O129" s="80"/>
    </row>
    <row r="130" spans="2:15" hidden="1" outlineLevel="1" collapsed="1">
      <c r="B130" s="76"/>
      <c r="C130" s="7" t="s">
        <v>116</v>
      </c>
      <c r="D130" s="14" t="s">
        <v>556</v>
      </c>
      <c r="E130" s="140"/>
      <c r="F130" s="132"/>
      <c r="G130" s="12"/>
      <c r="O130" s="80"/>
    </row>
    <row r="131" spans="2:15" hidden="1" outlineLevel="2">
      <c r="B131" s="23"/>
      <c r="C131" s="2" t="str">
        <f>C3964</f>
        <v>Show</v>
      </c>
      <c r="D131" s="14"/>
      <c r="E131" s="27" t="s">
        <v>1694</v>
      </c>
      <c r="F131" s="27"/>
      <c r="G131" s="80" t="s">
        <v>1684</v>
      </c>
      <c r="O131" s="80"/>
    </row>
    <row r="132" spans="2:15" hidden="1" outlineLevel="2">
      <c r="B132" s="23"/>
      <c r="C132" s="2" t="str">
        <f t="shared" ref="C132" si="7">C3981</f>
        <v>Show</v>
      </c>
      <c r="D132" s="14"/>
      <c r="E132" s="27" t="s">
        <v>2015</v>
      </c>
      <c r="F132" s="27"/>
      <c r="G132" s="80" t="s">
        <v>2016</v>
      </c>
      <c r="O132" s="80"/>
    </row>
    <row r="133" spans="2:15" hidden="1" outlineLevel="2">
      <c r="B133" s="23"/>
      <c r="C133" s="2" t="str">
        <f t="shared" ref="C133" si="8">C3998</f>
        <v>Show</v>
      </c>
      <c r="D133" s="14"/>
      <c r="E133" s="27" t="s">
        <v>1695</v>
      </c>
      <c r="F133" s="27"/>
      <c r="G133" s="80" t="s">
        <v>1685</v>
      </c>
      <c r="O133" s="80"/>
    </row>
    <row r="134" spans="2:15" hidden="1" outlineLevel="2">
      <c r="B134" s="23"/>
      <c r="C134" s="2" t="str">
        <f>C4015</f>
        <v>Show</v>
      </c>
      <c r="D134" s="14"/>
      <c r="E134" s="27" t="s">
        <v>302</v>
      </c>
      <c r="F134" s="27"/>
      <c r="G134" s="80" t="s">
        <v>303</v>
      </c>
      <c r="O134" s="80"/>
    </row>
    <row r="135" spans="2:15" hidden="1" outlineLevel="2">
      <c r="B135" s="23"/>
      <c r="C135" s="2" t="str">
        <f>C4036</f>
        <v>Show</v>
      </c>
      <c r="D135" s="14"/>
      <c r="E135" s="27" t="s">
        <v>1696</v>
      </c>
      <c r="F135" s="27"/>
      <c r="G135" s="80" t="s">
        <v>1686</v>
      </c>
      <c r="O135" s="80"/>
    </row>
    <row r="136" spans="2:15" hidden="1" outlineLevel="2">
      <c r="B136" s="23"/>
      <c r="C136" s="2" t="str">
        <f>C4053</f>
        <v>Show</v>
      </c>
      <c r="D136" s="14"/>
      <c r="E136" s="27" t="s">
        <v>1697</v>
      </c>
      <c r="F136" s="27"/>
      <c r="G136" s="80" t="s">
        <v>1687</v>
      </c>
      <c r="O136" s="80"/>
    </row>
    <row r="137" spans="2:15" hidden="1" outlineLevel="2">
      <c r="B137" s="23"/>
      <c r="C137" s="2" t="str">
        <f>C4072</f>
        <v>Show</v>
      </c>
      <c r="D137" s="14"/>
      <c r="E137" s="27" t="s">
        <v>1698</v>
      </c>
      <c r="F137" s="27"/>
      <c r="G137" s="80" t="s">
        <v>1021</v>
      </c>
      <c r="O137" s="80"/>
    </row>
    <row r="138" spans="2:15" hidden="1" outlineLevel="2">
      <c r="B138" s="23"/>
      <c r="C138" s="2" t="str">
        <f>C4095</f>
        <v>Show</v>
      </c>
      <c r="D138" s="14"/>
      <c r="E138" s="27" t="s">
        <v>1699</v>
      </c>
      <c r="F138" s="27"/>
      <c r="G138" s="80" t="s">
        <v>1688</v>
      </c>
      <c r="O138" s="80"/>
    </row>
    <row r="139" spans="2:15" hidden="1" outlineLevel="2">
      <c r="B139" s="23"/>
      <c r="C139" s="2" t="str">
        <f>C4112</f>
        <v>Show</v>
      </c>
      <c r="D139" s="14"/>
      <c r="E139" s="27" t="s">
        <v>2039</v>
      </c>
      <c r="F139" s="27"/>
      <c r="G139" s="80" t="s">
        <v>2040</v>
      </c>
      <c r="O139" s="80"/>
    </row>
    <row r="140" spans="2:15" hidden="1" outlineLevel="1" collapsed="1">
      <c r="B140" s="76"/>
      <c r="C140" s="7" t="s">
        <v>116</v>
      </c>
      <c r="D140" s="81" t="s">
        <v>1749</v>
      </c>
      <c r="E140" s="27"/>
      <c r="F140" s="27"/>
      <c r="O140" s="80"/>
    </row>
    <row r="141" spans="2:15" hidden="1" outlineLevel="2">
      <c r="B141" s="23"/>
      <c r="C141" s="2" t="str">
        <f>C4129</f>
        <v>Show</v>
      </c>
      <c r="D141" s="14"/>
      <c r="E141" s="27" t="s">
        <v>1701</v>
      </c>
      <c r="F141" s="27"/>
      <c r="G141" s="80" t="s">
        <v>1689</v>
      </c>
      <c r="O141" s="80"/>
    </row>
    <row r="142" spans="2:15" hidden="1" outlineLevel="2">
      <c r="B142" s="23"/>
      <c r="C142" s="2" t="str">
        <f t="shared" ref="C142" si="9">C4146</f>
        <v>Show</v>
      </c>
      <c r="D142" s="14"/>
      <c r="E142" s="27" t="s">
        <v>1702</v>
      </c>
      <c r="F142" s="27"/>
      <c r="G142" s="80" t="s">
        <v>1690</v>
      </c>
      <c r="O142" s="80"/>
    </row>
    <row r="143" spans="2:15" hidden="1" outlineLevel="2">
      <c r="B143" s="23"/>
      <c r="C143" s="2" t="str">
        <f>C4160</f>
        <v>Show</v>
      </c>
      <c r="D143" s="14"/>
      <c r="E143" s="27" t="s">
        <v>1703</v>
      </c>
      <c r="F143" s="27"/>
      <c r="G143" s="80" t="s">
        <v>1691</v>
      </c>
      <c r="O143" s="80"/>
    </row>
    <row r="144" spans="2:15" hidden="1" outlineLevel="1" collapsed="1">
      <c r="B144" s="76"/>
      <c r="C144" s="7" t="s">
        <v>116</v>
      </c>
      <c r="D144" s="14" t="s">
        <v>557</v>
      </c>
      <c r="E144" s="140"/>
      <c r="F144" s="132"/>
      <c r="G144" s="12"/>
      <c r="I144" s="88"/>
      <c r="J144" s="81"/>
      <c r="O144" s="80"/>
    </row>
    <row r="145" spans="2:15" hidden="1" outlineLevel="2">
      <c r="B145" s="23"/>
      <c r="C145" s="2" t="str">
        <f>C4176</f>
        <v>Show</v>
      </c>
      <c r="D145" s="14"/>
      <c r="E145" s="27" t="s">
        <v>304</v>
      </c>
      <c r="F145" s="27"/>
      <c r="G145" s="80" t="s">
        <v>305</v>
      </c>
      <c r="O145" s="80"/>
    </row>
    <row r="146" spans="2:15" hidden="1" outlineLevel="1" collapsed="1">
      <c r="B146" s="76"/>
      <c r="C146" s="7" t="s">
        <v>116</v>
      </c>
      <c r="D146" s="14" t="s">
        <v>558</v>
      </c>
      <c r="E146" s="140"/>
      <c r="F146" s="132"/>
      <c r="G146" s="12"/>
      <c r="O146" s="80"/>
    </row>
    <row r="147" spans="2:15" hidden="1" outlineLevel="2">
      <c r="B147" s="77"/>
      <c r="C147" s="7" t="str">
        <f>C4193</f>
        <v>Show</v>
      </c>
      <c r="D147" s="14"/>
      <c r="E147" s="71" t="s">
        <v>2017</v>
      </c>
      <c r="F147" s="71"/>
      <c r="G147" s="11" t="s">
        <v>2018</v>
      </c>
      <c r="O147" s="80"/>
    </row>
    <row r="148" spans="2:15" hidden="1" outlineLevel="2">
      <c r="B148" s="23"/>
      <c r="C148" s="7" t="str">
        <f t="shared" ref="C148" si="10">C4206</f>
        <v>Show</v>
      </c>
      <c r="D148" s="14"/>
      <c r="E148" s="71" t="s">
        <v>307</v>
      </c>
      <c r="F148" s="71"/>
      <c r="G148" s="11" t="s">
        <v>604</v>
      </c>
      <c r="O148" s="80"/>
    </row>
    <row r="149" spans="2:15" hidden="1" outlineLevel="2">
      <c r="B149" s="23"/>
      <c r="C149" s="7" t="str">
        <f t="shared" ref="C149" si="11">C4227</f>
        <v>Show</v>
      </c>
      <c r="D149" s="14"/>
      <c r="E149" s="27" t="s">
        <v>308</v>
      </c>
      <c r="F149" s="27"/>
      <c r="G149" s="80" t="s">
        <v>1704</v>
      </c>
    </row>
    <row r="150" spans="2:15" hidden="1" outlineLevel="2">
      <c r="B150" s="23"/>
      <c r="C150" s="7" t="str">
        <f>C4244</f>
        <v>Show</v>
      </c>
      <c r="D150" s="14"/>
      <c r="E150" s="27" t="s">
        <v>1706</v>
      </c>
      <c r="F150" s="27"/>
      <c r="G150" s="80" t="s">
        <v>1705</v>
      </c>
      <c r="O150" s="80"/>
    </row>
    <row r="151" spans="2:15" hidden="1" outlineLevel="2">
      <c r="B151" s="23"/>
      <c r="C151" s="7" t="str">
        <f>C4261</f>
        <v>Show</v>
      </c>
      <c r="D151" s="14"/>
      <c r="E151" s="71" t="s">
        <v>1238</v>
      </c>
      <c r="F151" s="27"/>
      <c r="G151" s="11" t="s">
        <v>598</v>
      </c>
      <c r="O151" s="80"/>
    </row>
    <row r="152" spans="2:15" hidden="1" outlineLevel="2">
      <c r="B152" s="23"/>
      <c r="C152" s="7" t="str">
        <f t="shared" ref="C152" si="12">C4316</f>
        <v>Show</v>
      </c>
      <c r="D152" s="14"/>
      <c r="E152" s="71" t="s">
        <v>606</v>
      </c>
      <c r="F152" s="71"/>
      <c r="G152" s="11" t="s">
        <v>607</v>
      </c>
      <c r="O152" s="80"/>
    </row>
    <row r="153" spans="2:15" hidden="1" outlineLevel="2">
      <c r="B153" s="23"/>
      <c r="C153" s="7" t="str">
        <f>C4349</f>
        <v>Show</v>
      </c>
      <c r="D153" s="14"/>
      <c r="E153" s="71" t="s">
        <v>1223</v>
      </c>
      <c r="F153" s="71"/>
      <c r="G153" s="11" t="s">
        <v>572</v>
      </c>
      <c r="O153" s="80"/>
    </row>
    <row r="154" spans="2:15" hidden="1" outlineLevel="2">
      <c r="B154" s="23"/>
      <c r="C154" s="7" t="str">
        <f>C4372</f>
        <v>Show</v>
      </c>
      <c r="D154" s="14"/>
      <c r="E154" s="71" t="s">
        <v>602</v>
      </c>
      <c r="F154" s="71"/>
      <c r="G154" s="11" t="s">
        <v>1240</v>
      </c>
      <c r="O154" s="80"/>
    </row>
    <row r="155" spans="2:15" hidden="1" outlineLevel="2">
      <c r="B155" s="23"/>
      <c r="C155" s="7" t="str">
        <f>C4389</f>
        <v>Show</v>
      </c>
      <c r="D155" s="14"/>
      <c r="E155" s="71" t="s">
        <v>309</v>
      </c>
      <c r="F155" s="27"/>
      <c r="G155" s="11" t="s">
        <v>573</v>
      </c>
      <c r="O155" s="80"/>
    </row>
    <row r="156" spans="2:15" hidden="1" outlineLevel="2">
      <c r="B156" s="23"/>
      <c r="C156" s="7" t="str">
        <f>C4430</f>
        <v>Show</v>
      </c>
      <c r="D156" s="14"/>
      <c r="E156" s="27" t="s">
        <v>310</v>
      </c>
      <c r="F156" s="71"/>
      <c r="G156" s="80" t="s">
        <v>311</v>
      </c>
      <c r="O156" s="14"/>
    </row>
    <row r="157" spans="2:15" hidden="1" outlineLevel="2">
      <c r="B157" s="23"/>
      <c r="C157" s="7" t="str">
        <f>C4485</f>
        <v>Show</v>
      </c>
      <c r="D157" s="14"/>
      <c r="E157" s="71" t="s">
        <v>1239</v>
      </c>
      <c r="F157" s="71"/>
      <c r="G157" s="11" t="s">
        <v>603</v>
      </c>
      <c r="O157" s="80"/>
    </row>
    <row r="158" spans="2:15" hidden="1" outlineLevel="1" collapsed="1">
      <c r="B158" s="76"/>
      <c r="C158" s="7" t="s">
        <v>116</v>
      </c>
      <c r="D158" s="14" t="s">
        <v>559</v>
      </c>
      <c r="E158" s="140"/>
      <c r="F158" s="132"/>
      <c r="G158" s="12"/>
      <c r="I158" s="87"/>
      <c r="J158" s="14"/>
      <c r="O158" s="80"/>
    </row>
    <row r="159" spans="2:15" hidden="1" outlineLevel="2">
      <c r="B159" s="23"/>
      <c r="C159" s="2" t="str">
        <f>C4504</f>
        <v>Show</v>
      </c>
      <c r="D159" s="14"/>
      <c r="E159" s="27" t="s">
        <v>1710</v>
      </c>
      <c r="F159" s="27"/>
      <c r="G159" s="80" t="s">
        <v>1707</v>
      </c>
      <c r="O159" s="80"/>
    </row>
    <row r="160" spans="2:15" hidden="1" outlineLevel="2">
      <c r="B160" s="23"/>
      <c r="C160" s="2" t="str">
        <f t="shared" ref="C160" si="13">C4529</f>
        <v>Show</v>
      </c>
      <c r="D160" s="14"/>
      <c r="E160" s="27" t="s">
        <v>313</v>
      </c>
      <c r="F160" s="27"/>
      <c r="G160" s="80" t="s">
        <v>1708</v>
      </c>
      <c r="O160" s="80"/>
    </row>
    <row r="161" spans="2:15" hidden="1" outlineLevel="2">
      <c r="B161" s="23"/>
      <c r="C161" s="2" t="str">
        <f t="shared" ref="C161" si="14">C4552</f>
        <v>Show</v>
      </c>
      <c r="D161" s="14"/>
      <c r="E161" s="27" t="s">
        <v>314</v>
      </c>
      <c r="F161" s="27"/>
      <c r="G161" s="80" t="s">
        <v>315</v>
      </c>
      <c r="O161" s="80"/>
    </row>
    <row r="162" spans="2:15" hidden="1" outlineLevel="2">
      <c r="B162" s="23"/>
      <c r="C162" s="2" t="str">
        <f>C4575</f>
        <v>Show</v>
      </c>
      <c r="D162" s="14"/>
      <c r="E162" s="27" t="s">
        <v>316</v>
      </c>
      <c r="F162" s="27"/>
      <c r="G162" s="80" t="s">
        <v>317</v>
      </c>
      <c r="O162" s="80"/>
    </row>
    <row r="163" spans="2:15" hidden="1" outlineLevel="2">
      <c r="B163" s="23"/>
      <c r="C163" s="2" t="str">
        <f>C4598</f>
        <v>Show</v>
      </c>
      <c r="D163" s="14"/>
      <c r="E163" s="27" t="s">
        <v>318</v>
      </c>
      <c r="F163" s="27"/>
      <c r="G163" s="80" t="s">
        <v>1709</v>
      </c>
      <c r="O163" s="14"/>
    </row>
    <row r="164" spans="2:15" hidden="1" outlineLevel="2">
      <c r="B164" s="23"/>
      <c r="C164" s="2" t="str">
        <f>C4613</f>
        <v>Show</v>
      </c>
      <c r="D164" s="14"/>
      <c r="E164" s="71" t="s">
        <v>319</v>
      </c>
      <c r="F164" s="27"/>
      <c r="G164" s="11" t="s">
        <v>574</v>
      </c>
      <c r="O164" s="80"/>
    </row>
    <row r="165" spans="2:15" hidden="1" outlineLevel="2">
      <c r="B165" s="23"/>
      <c r="C165" s="2" t="str">
        <f>C4654</f>
        <v>Show</v>
      </c>
      <c r="D165" s="14"/>
      <c r="E165" s="27" t="s">
        <v>320</v>
      </c>
      <c r="F165" s="27"/>
      <c r="G165" s="80" t="s">
        <v>321</v>
      </c>
      <c r="O165" s="14"/>
    </row>
    <row r="166" spans="2:15" hidden="1" outlineLevel="2">
      <c r="B166" s="23"/>
      <c r="C166" s="2" t="str">
        <f>C4671</f>
        <v>Show</v>
      </c>
      <c r="D166" s="14"/>
      <c r="E166" s="27" t="s">
        <v>1713</v>
      </c>
      <c r="F166" s="71"/>
      <c r="G166" s="80" t="s">
        <v>1711</v>
      </c>
      <c r="O166" s="80"/>
    </row>
    <row r="167" spans="2:15" hidden="1" outlineLevel="2">
      <c r="B167" s="23"/>
      <c r="C167" s="2" t="str">
        <f>C4688</f>
        <v>Show</v>
      </c>
      <c r="D167" s="14"/>
      <c r="E167" s="27" t="s">
        <v>1714</v>
      </c>
      <c r="F167" s="27"/>
      <c r="G167" s="80" t="s">
        <v>1712</v>
      </c>
      <c r="O167" s="80"/>
    </row>
    <row r="168" spans="2:15" hidden="1" outlineLevel="2">
      <c r="B168" s="23"/>
      <c r="C168" s="2" t="str">
        <f>C4709</f>
        <v>Show</v>
      </c>
      <c r="D168" s="14"/>
      <c r="E168" s="27" t="s">
        <v>1797</v>
      </c>
      <c r="F168" s="27"/>
      <c r="G168" s="80" t="s">
        <v>1798</v>
      </c>
      <c r="O168" s="80"/>
    </row>
    <row r="169" spans="2:15" hidden="1" outlineLevel="2">
      <c r="B169" s="23"/>
      <c r="C169" s="2" t="str">
        <f>C4732</f>
        <v>Show</v>
      </c>
      <c r="D169" s="14"/>
      <c r="E169" s="71" t="s">
        <v>322</v>
      </c>
      <c r="F169" s="27"/>
      <c r="G169" s="11" t="s">
        <v>323</v>
      </c>
      <c r="O169" s="80"/>
    </row>
    <row r="170" spans="2:15" hidden="1" outlineLevel="2">
      <c r="B170" s="23"/>
      <c r="C170" s="2" t="str">
        <f>C4773</f>
        <v>Show</v>
      </c>
      <c r="D170" s="14"/>
      <c r="E170" s="71" t="s">
        <v>324</v>
      </c>
      <c r="F170" s="27"/>
      <c r="G170" s="11" t="s">
        <v>325</v>
      </c>
      <c r="O170" s="80"/>
    </row>
    <row r="171" spans="2:15" hidden="1" outlineLevel="2">
      <c r="B171" s="23"/>
      <c r="C171" s="2" t="str">
        <f>C4814</f>
        <v>Show</v>
      </c>
      <c r="D171" s="14"/>
      <c r="E171" s="27" t="s">
        <v>326</v>
      </c>
      <c r="F171" s="27"/>
      <c r="G171" s="80" t="s">
        <v>327</v>
      </c>
      <c r="O171" s="80"/>
    </row>
    <row r="172" spans="2:15" hidden="1" outlineLevel="2">
      <c r="B172" s="23"/>
      <c r="C172" s="2" t="str">
        <f>C4843</f>
        <v>Show</v>
      </c>
      <c r="D172" s="14"/>
      <c r="E172" s="27" t="s">
        <v>1716</v>
      </c>
      <c r="F172" s="27"/>
      <c r="G172" s="80" t="s">
        <v>328</v>
      </c>
      <c r="O172" s="80"/>
    </row>
    <row r="173" spans="2:15" hidden="1" outlineLevel="2">
      <c r="B173" s="23"/>
      <c r="C173" s="2" t="str">
        <f>C4860</f>
        <v>Show</v>
      </c>
      <c r="D173" s="14"/>
      <c r="E173" s="27" t="s">
        <v>1717</v>
      </c>
      <c r="F173" s="71"/>
      <c r="G173" s="80" t="s">
        <v>1715</v>
      </c>
      <c r="O173" s="80"/>
    </row>
    <row r="174" spans="2:15" hidden="1" outlineLevel="2">
      <c r="B174" s="23"/>
      <c r="C174" s="2" t="str">
        <f>C4895</f>
        <v>Show</v>
      </c>
      <c r="D174" s="14"/>
      <c r="E174" s="27" t="s">
        <v>1719</v>
      </c>
      <c r="F174" s="27"/>
      <c r="G174" s="80" t="s">
        <v>1718</v>
      </c>
      <c r="O174" s="80"/>
    </row>
    <row r="175" spans="2:15" hidden="1" outlineLevel="1" collapsed="1">
      <c r="B175" s="76"/>
      <c r="C175" s="7" t="s">
        <v>116</v>
      </c>
      <c r="D175" s="14" t="s">
        <v>560</v>
      </c>
      <c r="E175" s="140"/>
      <c r="F175" s="132"/>
      <c r="G175" s="12"/>
      <c r="I175" s="87"/>
      <c r="J175" s="14"/>
      <c r="O175" s="80"/>
    </row>
    <row r="176" spans="2:15" hidden="1" outlineLevel="2">
      <c r="B176" s="23"/>
      <c r="C176" s="2" t="str">
        <f>C4914</f>
        <v>Show</v>
      </c>
      <c r="D176" s="14"/>
      <c r="E176" s="27" t="s">
        <v>1723</v>
      </c>
      <c r="F176" s="27"/>
      <c r="G176" s="80" t="s">
        <v>1720</v>
      </c>
      <c r="I176" s="79"/>
      <c r="J176" s="80"/>
      <c r="O176" s="80"/>
    </row>
    <row r="177" spans="2:15" hidden="1" outlineLevel="2">
      <c r="B177" s="23"/>
      <c r="C177" s="2" t="str">
        <f t="shared" ref="C177" si="15">C4927</f>
        <v>Show</v>
      </c>
      <c r="D177" s="14"/>
      <c r="E177" s="27" t="s">
        <v>2004</v>
      </c>
      <c r="F177" s="27"/>
      <c r="G177" s="80" t="s">
        <v>2005</v>
      </c>
      <c r="I177" s="79"/>
      <c r="J177" s="80"/>
    </row>
    <row r="178" spans="2:15" hidden="1" outlineLevel="2">
      <c r="B178" s="23"/>
      <c r="C178" s="2" t="str">
        <f>C4954</f>
        <v>Show</v>
      </c>
      <c r="D178" s="14"/>
      <c r="E178" s="27" t="s">
        <v>1724</v>
      </c>
      <c r="F178" s="27"/>
      <c r="G178" s="80" t="s">
        <v>1721</v>
      </c>
      <c r="I178" s="79"/>
      <c r="J178" s="80"/>
      <c r="O178" s="81"/>
    </row>
    <row r="179" spans="2:15" hidden="1" outlineLevel="2">
      <c r="B179" s="23"/>
      <c r="C179" s="2" t="str">
        <f>C4981</f>
        <v>Show</v>
      </c>
      <c r="D179" s="14"/>
      <c r="E179" s="27" t="s">
        <v>1725</v>
      </c>
      <c r="F179" s="27"/>
      <c r="G179" s="80" t="s">
        <v>1722</v>
      </c>
      <c r="I179" s="79"/>
      <c r="J179" s="80"/>
      <c r="O179" s="80"/>
    </row>
    <row r="180" spans="2:15" hidden="1" outlineLevel="2">
      <c r="B180" s="23"/>
      <c r="C180" s="2" t="str">
        <f>C5006</f>
        <v>Show</v>
      </c>
      <c r="D180" s="14"/>
      <c r="E180" s="71" t="s">
        <v>581</v>
      </c>
      <c r="F180" s="27"/>
      <c r="G180" s="11" t="s">
        <v>330</v>
      </c>
      <c r="I180" s="79"/>
      <c r="J180" s="80"/>
      <c r="O180" s="14"/>
    </row>
    <row r="181" spans="2:15" hidden="1" outlineLevel="2">
      <c r="B181" s="23"/>
      <c r="C181" s="2" t="str">
        <f>C5033</f>
        <v>Show</v>
      </c>
      <c r="D181" s="14"/>
      <c r="E181" s="27" t="s">
        <v>1729</v>
      </c>
      <c r="F181" s="27"/>
      <c r="G181" s="80" t="s">
        <v>1726</v>
      </c>
      <c r="I181" s="79"/>
      <c r="J181" s="80"/>
      <c r="O181" s="14"/>
    </row>
    <row r="182" spans="2:15" hidden="1" outlineLevel="2">
      <c r="B182" s="23"/>
      <c r="C182" s="2" t="str">
        <f>C5060</f>
        <v>Show</v>
      </c>
      <c r="D182" s="14"/>
      <c r="E182" s="27" t="s">
        <v>2002</v>
      </c>
      <c r="F182" s="71"/>
      <c r="G182" s="80" t="s">
        <v>2003</v>
      </c>
      <c r="I182" s="79"/>
      <c r="J182" s="80"/>
      <c r="O182" s="80"/>
    </row>
    <row r="183" spans="2:15" hidden="1" outlineLevel="2">
      <c r="B183" s="23"/>
      <c r="C183" s="2" t="str">
        <f>C5075</f>
        <v>Show</v>
      </c>
      <c r="D183" s="14"/>
      <c r="E183" s="27" t="s">
        <v>1730</v>
      </c>
      <c r="F183" s="27"/>
      <c r="G183" s="80" t="s">
        <v>1727</v>
      </c>
      <c r="I183" s="28"/>
      <c r="O183" s="80"/>
    </row>
    <row r="184" spans="2:15" hidden="1" outlineLevel="2">
      <c r="B184" s="23"/>
      <c r="C184" s="2" t="str">
        <f>C5100</f>
        <v>Show</v>
      </c>
      <c r="D184" s="14"/>
      <c r="E184" s="27" t="s">
        <v>1731</v>
      </c>
      <c r="F184" s="27"/>
      <c r="G184" s="80" t="s">
        <v>1728</v>
      </c>
      <c r="I184" s="79"/>
      <c r="J184" s="80"/>
      <c r="O184" s="80"/>
    </row>
    <row r="185" spans="2:15" hidden="1" outlineLevel="2">
      <c r="B185" s="23"/>
      <c r="C185" s="2" t="str">
        <f>C5133</f>
        <v>Show</v>
      </c>
      <c r="D185" s="14"/>
      <c r="E185" s="27" t="s">
        <v>331</v>
      </c>
      <c r="F185" s="27"/>
      <c r="G185" s="80" t="s">
        <v>223</v>
      </c>
      <c r="I185" s="79"/>
      <c r="J185" s="80"/>
      <c r="O185" s="80"/>
    </row>
    <row r="186" spans="2:15" hidden="1" outlineLevel="1" collapsed="1">
      <c r="B186" s="76"/>
      <c r="C186" s="7" t="s">
        <v>116</v>
      </c>
      <c r="D186" s="14" t="s">
        <v>578</v>
      </c>
      <c r="E186" s="80"/>
      <c r="F186" s="132"/>
      <c r="G186" s="12"/>
      <c r="I186" s="87"/>
      <c r="J186" s="14"/>
      <c r="O186" s="80"/>
    </row>
    <row r="187" spans="2:15" hidden="1" outlineLevel="2">
      <c r="B187" s="23"/>
      <c r="C187" s="2" t="str">
        <f>C5168</f>
        <v>Show</v>
      </c>
      <c r="D187" s="14"/>
      <c r="E187" s="71" t="s">
        <v>1219</v>
      </c>
      <c r="F187" s="71"/>
      <c r="G187" s="11" t="s">
        <v>579</v>
      </c>
      <c r="O187" s="81"/>
    </row>
    <row r="188" spans="2:15" hidden="1" outlineLevel="2">
      <c r="B188" s="23"/>
      <c r="C188" s="2" t="str">
        <f>C5180</f>
        <v>Show</v>
      </c>
      <c r="D188" s="14"/>
      <c r="E188" s="27" t="s">
        <v>1734</v>
      </c>
      <c r="F188" s="27"/>
      <c r="G188" s="80" t="s">
        <v>1732</v>
      </c>
      <c r="O188" s="80"/>
    </row>
    <row r="189" spans="2:15" hidden="1" outlineLevel="1" collapsed="1">
      <c r="B189" s="76"/>
      <c r="C189" s="7" t="s">
        <v>116</v>
      </c>
      <c r="D189" s="14" t="s">
        <v>561</v>
      </c>
      <c r="E189" s="140"/>
      <c r="F189" s="132"/>
      <c r="G189" s="12"/>
      <c r="I189" s="87"/>
      <c r="J189" s="14"/>
      <c r="O189" s="80"/>
    </row>
    <row r="190" spans="2:15" hidden="1" outlineLevel="2">
      <c r="B190" s="23"/>
      <c r="C190" s="2" t="str">
        <f>C5197</f>
        <v>Show</v>
      </c>
      <c r="D190" s="14"/>
      <c r="E190" s="27" t="s">
        <v>1735</v>
      </c>
      <c r="F190" s="27"/>
      <c r="G190" s="80" t="s">
        <v>2011</v>
      </c>
      <c r="O190" s="81"/>
    </row>
    <row r="191" spans="2:15" hidden="1" outlineLevel="2">
      <c r="B191" s="23"/>
      <c r="C191" s="2" t="str">
        <f t="shared" ref="C191" si="16">C5211</f>
        <v>Show</v>
      </c>
      <c r="D191" s="14"/>
      <c r="E191" s="27" t="s">
        <v>332</v>
      </c>
      <c r="F191" s="27"/>
      <c r="G191" s="80" t="s">
        <v>333</v>
      </c>
      <c r="O191" s="80"/>
    </row>
    <row r="192" spans="2:15" hidden="1" outlineLevel="2">
      <c r="B192" s="23"/>
      <c r="C192" s="2" t="str">
        <f>C5228</f>
        <v>Show</v>
      </c>
      <c r="D192" s="14"/>
      <c r="E192" s="27" t="s">
        <v>334</v>
      </c>
      <c r="F192" s="27"/>
      <c r="G192" s="80" t="s">
        <v>1733</v>
      </c>
      <c r="O192" s="80"/>
    </row>
    <row r="193" spans="2:15" hidden="1" outlineLevel="2">
      <c r="B193" s="23"/>
      <c r="C193" s="2" t="str">
        <f>C5245</f>
        <v>Show</v>
      </c>
      <c r="D193" s="14"/>
      <c r="E193" s="71" t="s">
        <v>1241</v>
      </c>
      <c r="F193" s="71"/>
      <c r="G193" s="11" t="s">
        <v>605</v>
      </c>
      <c r="O193" s="80"/>
    </row>
    <row r="194" spans="2:15" hidden="1" outlineLevel="1" collapsed="1">
      <c r="B194" s="76"/>
      <c r="C194" s="7" t="s">
        <v>116</v>
      </c>
      <c r="D194" s="14" t="s">
        <v>562</v>
      </c>
      <c r="E194" s="140"/>
      <c r="F194" s="132"/>
      <c r="G194" s="12"/>
      <c r="O194" s="80"/>
    </row>
    <row r="195" spans="2:15" hidden="1" outlineLevel="2">
      <c r="B195" s="23"/>
      <c r="C195" s="2" t="str">
        <f>C5264</f>
        <v>Show</v>
      </c>
      <c r="D195" s="14"/>
      <c r="E195" s="71" t="s">
        <v>335</v>
      </c>
      <c r="F195" s="71"/>
      <c r="G195" s="11" t="s">
        <v>336</v>
      </c>
      <c r="O195" s="80"/>
    </row>
    <row r="196" spans="2:15" hidden="1" outlineLevel="2">
      <c r="B196" s="23"/>
      <c r="C196" s="2" t="str">
        <f t="shared" ref="C196" si="17">C5279</f>
        <v>Show</v>
      </c>
      <c r="D196" s="14"/>
      <c r="E196" s="27" t="s">
        <v>337</v>
      </c>
      <c r="F196" s="27"/>
      <c r="G196" s="80" t="s">
        <v>575</v>
      </c>
      <c r="O196" s="14"/>
    </row>
    <row r="197" spans="2:15" hidden="1" outlineLevel="2">
      <c r="B197" s="23"/>
      <c r="C197" s="2" t="str">
        <f>C5294</f>
        <v>Show</v>
      </c>
      <c r="D197" s="14"/>
      <c r="E197" s="71" t="s">
        <v>338</v>
      </c>
      <c r="F197" s="71"/>
      <c r="G197" s="11" t="s">
        <v>580</v>
      </c>
      <c r="O197" s="80"/>
    </row>
    <row r="198" spans="2:15" hidden="1" outlineLevel="2">
      <c r="B198" s="23"/>
      <c r="C198" s="2" t="str">
        <f>C5309</f>
        <v>Show</v>
      </c>
      <c r="D198" s="14"/>
      <c r="E198" s="27" t="s">
        <v>1738</v>
      </c>
      <c r="F198" s="27"/>
      <c r="G198" s="80" t="s">
        <v>1737</v>
      </c>
      <c r="O198" s="80"/>
    </row>
    <row r="199" spans="2:15" hidden="1" outlineLevel="1" collapsed="1">
      <c r="B199" s="76"/>
      <c r="C199" s="7" t="s">
        <v>116</v>
      </c>
      <c r="D199" s="14" t="s">
        <v>563</v>
      </c>
      <c r="E199" s="140"/>
      <c r="F199" s="132"/>
      <c r="G199" s="12"/>
      <c r="I199" s="88"/>
      <c r="J199" s="81"/>
      <c r="O199" s="81"/>
    </row>
    <row r="200" spans="2:15" hidden="1" outlineLevel="2">
      <c r="B200" s="77"/>
      <c r="C200" s="7" t="str">
        <f>C5330</f>
        <v>Show</v>
      </c>
      <c r="D200" s="14"/>
      <c r="E200" s="71" t="s">
        <v>1232</v>
      </c>
      <c r="F200" s="71"/>
      <c r="G200" s="11" t="s">
        <v>597</v>
      </c>
      <c r="O200" s="81"/>
    </row>
    <row r="201" spans="2:15" hidden="1" outlineLevel="2">
      <c r="B201" s="23"/>
      <c r="C201" s="7" t="str">
        <f t="shared" ref="C201" si="18">C5359</f>
        <v>Show</v>
      </c>
      <c r="D201" s="14"/>
      <c r="E201" s="71" t="s">
        <v>339</v>
      </c>
      <c r="F201" s="71"/>
      <c r="G201" s="11" t="s">
        <v>340</v>
      </c>
      <c r="O201" s="80"/>
    </row>
    <row r="202" spans="2:15" hidden="1" outlineLevel="2">
      <c r="B202" s="23"/>
      <c r="C202" s="7" t="str">
        <f>C5388</f>
        <v>Show</v>
      </c>
      <c r="D202" s="14"/>
      <c r="E202" s="71" t="s">
        <v>1233</v>
      </c>
      <c r="F202" s="71"/>
      <c r="G202" s="11" t="s">
        <v>1234</v>
      </c>
      <c r="O202" s="80"/>
    </row>
    <row r="203" spans="2:15" hidden="1" outlineLevel="2">
      <c r="B203" s="23"/>
      <c r="C203" s="7" t="str">
        <f>C5417</f>
        <v>Show</v>
      </c>
      <c r="D203" s="14"/>
      <c r="E203" s="27" t="s">
        <v>1740</v>
      </c>
      <c r="F203" s="71"/>
      <c r="G203" s="80" t="s">
        <v>1739</v>
      </c>
      <c r="O203" s="81"/>
    </row>
    <row r="204" spans="2:15" hidden="1" outlineLevel="2">
      <c r="B204" s="23"/>
      <c r="C204" s="7" t="str">
        <f>C5434</f>
        <v>Show</v>
      </c>
      <c r="D204" s="14"/>
      <c r="E204" s="71" t="s">
        <v>1226</v>
      </c>
      <c r="F204" s="27"/>
      <c r="G204" s="11" t="s">
        <v>1235</v>
      </c>
      <c r="O204" s="80"/>
    </row>
    <row r="205" spans="2:15" hidden="1" outlineLevel="2">
      <c r="B205" s="23"/>
      <c r="C205" s="7" t="str">
        <f>C5455</f>
        <v>Show</v>
      </c>
      <c r="D205" s="14"/>
      <c r="E205" s="27" t="s">
        <v>1743</v>
      </c>
      <c r="F205" s="71"/>
      <c r="G205" s="80" t="s">
        <v>1741</v>
      </c>
      <c r="O205" s="80"/>
    </row>
    <row r="206" spans="2:15" hidden="1" outlineLevel="2">
      <c r="B206" s="23"/>
      <c r="C206" s="7" t="str">
        <f>C5467</f>
        <v>Show</v>
      </c>
      <c r="D206" s="14"/>
      <c r="E206" s="27" t="s">
        <v>1744</v>
      </c>
      <c r="F206" s="27"/>
      <c r="G206" s="80" t="s">
        <v>1742</v>
      </c>
      <c r="O206" s="80"/>
    </row>
    <row r="207" spans="2:15" hidden="1" outlineLevel="2">
      <c r="B207" s="23"/>
      <c r="C207" s="7" t="str">
        <f>C5479</f>
        <v>Show</v>
      </c>
      <c r="D207" s="14"/>
      <c r="E207" s="71" t="s">
        <v>584</v>
      </c>
      <c r="F207" s="27"/>
      <c r="G207" s="11" t="s">
        <v>585</v>
      </c>
      <c r="O207" s="80"/>
    </row>
    <row r="208" spans="2:15" hidden="1" outlineLevel="2">
      <c r="B208" s="23"/>
      <c r="C208" s="7" t="str">
        <f>C5502</f>
        <v>Show</v>
      </c>
      <c r="D208" s="14"/>
      <c r="E208" s="71" t="s">
        <v>586</v>
      </c>
      <c r="F208" s="71"/>
      <c r="G208" s="11" t="s">
        <v>587</v>
      </c>
      <c r="O208" s="81"/>
    </row>
    <row r="209" spans="2:15" hidden="1" outlineLevel="2">
      <c r="B209" s="23"/>
      <c r="C209" s="7" t="str">
        <f>C5519</f>
        <v>Show</v>
      </c>
      <c r="D209" s="14"/>
      <c r="E209" s="71" t="s">
        <v>341</v>
      </c>
      <c r="F209" s="71"/>
      <c r="G209" s="11" t="s">
        <v>588</v>
      </c>
      <c r="O209" s="81"/>
    </row>
    <row r="210" spans="2:15" hidden="1" outlineLevel="2">
      <c r="B210" s="23"/>
      <c r="C210" s="7" t="str">
        <f t="shared" ref="C210" si="19">C5546</f>
        <v>Show</v>
      </c>
      <c r="D210" s="14"/>
      <c r="E210" s="71" t="s">
        <v>342</v>
      </c>
      <c r="F210" s="71"/>
      <c r="G210" s="11" t="s">
        <v>343</v>
      </c>
      <c r="O210" s="80"/>
    </row>
    <row r="211" spans="2:15" hidden="1" outlineLevel="2">
      <c r="B211" s="23"/>
      <c r="C211" s="7" t="str">
        <f>C5567</f>
        <v>Show</v>
      </c>
      <c r="D211" s="14"/>
      <c r="E211" s="71" t="s">
        <v>346</v>
      </c>
      <c r="F211" s="71"/>
      <c r="G211" s="11" t="s">
        <v>1220</v>
      </c>
      <c r="O211" s="80"/>
    </row>
    <row r="212" spans="2:15" hidden="1" outlineLevel="2">
      <c r="B212" s="23"/>
      <c r="C212" s="7" t="str">
        <f>C5614</f>
        <v>Show</v>
      </c>
      <c r="D212" s="14"/>
      <c r="E212" s="71" t="s">
        <v>344</v>
      </c>
      <c r="F212" s="71"/>
      <c r="G212" s="11" t="s">
        <v>345</v>
      </c>
      <c r="O212" s="80"/>
    </row>
    <row r="213" spans="2:15" hidden="1" outlineLevel="2">
      <c r="B213" s="23"/>
      <c r="C213" s="7" t="str">
        <f>C5629</f>
        <v>Show</v>
      </c>
      <c r="D213" s="14"/>
      <c r="E213" s="71" t="s">
        <v>347</v>
      </c>
      <c r="F213" s="71"/>
      <c r="G213" s="11" t="s">
        <v>348</v>
      </c>
      <c r="O213" s="80"/>
    </row>
    <row r="214" spans="2:15" hidden="1" outlineLevel="2">
      <c r="B214" s="23"/>
      <c r="C214" s="7" t="str">
        <f>C5656</f>
        <v>Show</v>
      </c>
      <c r="D214" s="14"/>
      <c r="E214" s="71" t="s">
        <v>349</v>
      </c>
      <c r="F214" s="71"/>
      <c r="G214" s="11" t="s">
        <v>1222</v>
      </c>
      <c r="O214" s="81"/>
    </row>
    <row r="215" spans="2:15" hidden="1" outlineLevel="2">
      <c r="B215" s="23"/>
      <c r="C215" s="7" t="str">
        <f>C5685</f>
        <v>Show</v>
      </c>
      <c r="D215" s="14"/>
      <c r="E215" s="27" t="s">
        <v>1746</v>
      </c>
      <c r="F215" s="71"/>
      <c r="G215" s="80" t="s">
        <v>1745</v>
      </c>
      <c r="O215" s="81"/>
    </row>
    <row r="216" spans="2:15" hidden="1" outlineLevel="1" collapsed="1">
      <c r="B216" s="76"/>
      <c r="C216" s="7" t="s">
        <v>116</v>
      </c>
      <c r="D216" s="14" t="s">
        <v>564</v>
      </c>
      <c r="E216" s="140"/>
      <c r="F216" s="132"/>
      <c r="G216" s="12"/>
      <c r="O216" s="80"/>
    </row>
    <row r="217" spans="2:15" hidden="1" outlineLevel="2">
      <c r="B217" s="77"/>
      <c r="C217" s="7" t="str">
        <f>C5702</f>
        <v>Show</v>
      </c>
      <c r="D217" s="14"/>
      <c r="E217" s="71" t="s">
        <v>600</v>
      </c>
      <c r="F217" s="71"/>
      <c r="G217" s="11" t="s">
        <v>601</v>
      </c>
      <c r="O217" s="80"/>
    </row>
    <row r="218" spans="2:15" hidden="1" outlineLevel="2">
      <c r="B218" s="77"/>
      <c r="C218" s="7" t="str">
        <f t="shared" ref="C218" si="20">C5719</f>
        <v>Show</v>
      </c>
      <c r="D218" s="14"/>
      <c r="E218" s="71" t="s">
        <v>350</v>
      </c>
      <c r="F218" s="71"/>
      <c r="G218" s="11" t="s">
        <v>599</v>
      </c>
      <c r="O218" s="80"/>
    </row>
    <row r="219" spans="2:15" hidden="1" outlineLevel="2">
      <c r="B219" s="23"/>
      <c r="C219" s="7" t="str">
        <f>C5736</f>
        <v>Show</v>
      </c>
      <c r="D219" s="14"/>
      <c r="E219" s="71" t="s">
        <v>582</v>
      </c>
      <c r="F219" s="71"/>
      <c r="G219" s="11" t="s">
        <v>583</v>
      </c>
      <c r="O219" s="80"/>
    </row>
    <row r="220" spans="2:15" hidden="1" outlineLevel="2">
      <c r="B220" s="23"/>
      <c r="C220" s="7" t="str">
        <f>C5761</f>
        <v>Show</v>
      </c>
      <c r="D220" s="14"/>
      <c r="E220" s="71" t="s">
        <v>351</v>
      </c>
      <c r="F220" s="71"/>
      <c r="G220" s="11" t="s">
        <v>352</v>
      </c>
      <c r="O220" s="80"/>
    </row>
    <row r="221" spans="2:15" hidden="1" outlineLevel="2">
      <c r="B221" s="23"/>
      <c r="C221" s="7" t="str">
        <f>C5778</f>
        <v>Show</v>
      </c>
      <c r="D221" s="14"/>
      <c r="E221" s="71" t="s">
        <v>1224</v>
      </c>
      <c r="F221" s="71"/>
      <c r="G221" s="11" t="s">
        <v>576</v>
      </c>
      <c r="O221" s="80"/>
    </row>
    <row r="222" spans="2:15" hidden="1" outlineLevel="1" collapsed="1">
      <c r="B222" s="76"/>
      <c r="C222" s="7" t="s">
        <v>116</v>
      </c>
      <c r="D222" s="14" t="s">
        <v>589</v>
      </c>
      <c r="E222" s="80"/>
      <c r="F222" s="132"/>
      <c r="G222" s="12"/>
      <c r="O222" s="80"/>
    </row>
    <row r="223" spans="2:15" hidden="1" outlineLevel="2">
      <c r="B223" s="23"/>
      <c r="C223" s="2" t="str">
        <f>C5800</f>
        <v>Show</v>
      </c>
      <c r="E223" s="12" t="s">
        <v>590</v>
      </c>
      <c r="F223" s="132"/>
      <c r="G223" s="12" t="s">
        <v>591</v>
      </c>
      <c r="I223" s="87"/>
      <c r="J223" s="14"/>
      <c r="O223" s="80"/>
    </row>
    <row r="224" spans="2:15" hidden="1" outlineLevel="1" collapsed="1">
      <c r="B224" s="76"/>
      <c r="C224" s="7" t="s">
        <v>116</v>
      </c>
      <c r="D224" s="14" t="s">
        <v>1755</v>
      </c>
      <c r="E224" s="80"/>
      <c r="F224" s="132"/>
      <c r="G224" s="12"/>
      <c r="I224" s="87"/>
      <c r="J224" s="14"/>
      <c r="O224" s="80"/>
    </row>
    <row r="225" spans="2:15" hidden="1" outlineLevel="2">
      <c r="B225" s="23"/>
      <c r="C225" s="2" t="str">
        <f>C5818</f>
        <v>Show</v>
      </c>
      <c r="E225" s="27" t="s">
        <v>1748</v>
      </c>
      <c r="F225" s="27"/>
      <c r="G225" s="80" t="s">
        <v>1747</v>
      </c>
      <c r="I225" s="87"/>
      <c r="J225" s="14"/>
      <c r="O225" s="80"/>
    </row>
    <row r="226" spans="2:15" collapsed="1">
      <c r="B226" s="76"/>
      <c r="C226" s="7" t="s">
        <v>116</v>
      </c>
      <c r="F226" s="132"/>
      <c r="G226" s="12"/>
      <c r="I226" s="28"/>
      <c r="O226" s="80"/>
    </row>
    <row r="227" spans="2:15">
      <c r="B227" s="76"/>
      <c r="C227" s="7" t="s">
        <v>116</v>
      </c>
      <c r="D227" s="42" t="s">
        <v>545</v>
      </c>
      <c r="E227" s="40"/>
      <c r="F227" s="43"/>
      <c r="G227" s="40"/>
      <c r="H227" s="41"/>
      <c r="I227" s="87"/>
      <c r="J227" s="14"/>
      <c r="O227" s="81"/>
    </row>
    <row r="228" spans="2:15">
      <c r="B228" s="76"/>
      <c r="C228" s="7" t="s">
        <v>116</v>
      </c>
      <c r="D228" s="51" t="s">
        <v>224</v>
      </c>
      <c r="E228" s="35"/>
      <c r="F228" s="52" t="s">
        <v>128</v>
      </c>
      <c r="G228" s="53"/>
      <c r="H228" s="54"/>
      <c r="O228" s="80"/>
    </row>
    <row r="229" spans="2:15" hidden="1" outlineLevel="1">
      <c r="B229" s="76"/>
      <c r="C229" s="7" t="s">
        <v>116</v>
      </c>
      <c r="D229" s="23" t="s">
        <v>117</v>
      </c>
      <c r="E229" s="13"/>
      <c r="G229" s="13"/>
      <c r="O229" s="80"/>
    </row>
    <row r="230" spans="2:15" hidden="1" outlineLevel="1">
      <c r="B230" s="76"/>
      <c r="C230" s="7" t="s">
        <v>116</v>
      </c>
      <c r="D230" s="23"/>
      <c r="E230" s="141">
        <v>1.1000000000000001</v>
      </c>
      <c r="F230" s="71" t="s">
        <v>677</v>
      </c>
      <c r="G230" s="69"/>
      <c r="K230" s="71"/>
      <c r="L230" s="87"/>
      <c r="M230" s="28"/>
      <c r="N230" s="28"/>
    </row>
    <row r="231" spans="2:15" hidden="1" outlineLevel="1">
      <c r="B231" s="76"/>
      <c r="C231" s="7" t="s">
        <v>116</v>
      </c>
      <c r="D231" s="23"/>
      <c r="E231" s="13"/>
      <c r="F231" s="11" t="s">
        <v>119</v>
      </c>
      <c r="G231" s="69"/>
      <c r="H231" s="75" t="s">
        <v>2301</v>
      </c>
      <c r="K231" s="71"/>
      <c r="L231" s="87"/>
      <c r="M231" s="28"/>
      <c r="N231" s="28"/>
    </row>
    <row r="232" spans="2:15" hidden="1" outlineLevel="1">
      <c r="B232" s="76"/>
      <c r="C232" s="7" t="s">
        <v>116</v>
      </c>
      <c r="D232" s="23"/>
      <c r="E232" s="13">
        <v>1.2</v>
      </c>
      <c r="F232" s="11" t="s">
        <v>620</v>
      </c>
      <c r="G232" s="13"/>
      <c r="O232" s="80"/>
    </row>
    <row r="233" spans="2:15" hidden="1" outlineLevel="1">
      <c r="B233" s="76"/>
      <c r="C233" s="7" t="s">
        <v>116</v>
      </c>
      <c r="D233" s="23"/>
      <c r="E233" s="13"/>
      <c r="F233" s="70" t="s">
        <v>119</v>
      </c>
      <c r="H233" s="75" t="s">
        <v>2081</v>
      </c>
      <c r="O233" s="80"/>
    </row>
    <row r="234" spans="2:15" ht="30" hidden="1" outlineLevel="1">
      <c r="B234" s="76"/>
      <c r="C234" s="7" t="s">
        <v>116</v>
      </c>
      <c r="D234" s="23"/>
      <c r="E234" s="13"/>
      <c r="F234" s="70" t="s">
        <v>125</v>
      </c>
      <c r="G234" s="13"/>
      <c r="H234" s="28" t="s">
        <v>629</v>
      </c>
      <c r="O234" s="80"/>
    </row>
    <row r="235" spans="2:15" ht="30" hidden="1" outlineLevel="1">
      <c r="B235" s="76"/>
      <c r="C235" s="7" t="s">
        <v>116</v>
      </c>
      <c r="D235" s="23"/>
      <c r="E235" s="13"/>
      <c r="F235" s="70" t="s">
        <v>158</v>
      </c>
      <c r="G235" s="13"/>
      <c r="H235" s="28" t="s">
        <v>630</v>
      </c>
      <c r="O235" s="81"/>
    </row>
    <row r="236" spans="2:15" ht="30" hidden="1" outlineLevel="1">
      <c r="B236" s="76"/>
      <c r="C236" s="7" t="s">
        <v>116</v>
      </c>
      <c r="D236" s="23"/>
      <c r="E236" s="13"/>
      <c r="F236" s="70" t="s">
        <v>159</v>
      </c>
      <c r="G236" s="13"/>
      <c r="H236" s="75" t="s">
        <v>2122</v>
      </c>
      <c r="O236" s="80"/>
    </row>
    <row r="237" spans="2:15" ht="30" hidden="1" outlineLevel="1">
      <c r="B237" s="76"/>
      <c r="C237" s="7" t="s">
        <v>116</v>
      </c>
      <c r="D237" s="23"/>
      <c r="E237" s="13"/>
      <c r="F237" s="70" t="s">
        <v>621</v>
      </c>
      <c r="G237" s="13"/>
      <c r="H237" s="75" t="s">
        <v>2111</v>
      </c>
      <c r="O237" s="80"/>
    </row>
    <row r="238" spans="2:15" ht="45" hidden="1" outlineLevel="1">
      <c r="B238" s="76"/>
      <c r="C238" s="7" t="s">
        <v>116</v>
      </c>
      <c r="D238" s="23"/>
      <c r="E238" s="13"/>
      <c r="F238" s="70" t="s">
        <v>622</v>
      </c>
      <c r="G238" s="13"/>
      <c r="H238" s="75" t="s">
        <v>2107</v>
      </c>
      <c r="O238" s="80"/>
    </row>
    <row r="239" spans="2:15" ht="30" hidden="1" outlineLevel="1">
      <c r="B239" s="76"/>
      <c r="C239" s="7" t="s">
        <v>116</v>
      </c>
      <c r="D239" s="23"/>
      <c r="E239" s="13"/>
      <c r="F239" s="70" t="s">
        <v>623</v>
      </c>
      <c r="G239" s="13"/>
      <c r="H239" s="75" t="s">
        <v>2106</v>
      </c>
      <c r="O239" s="80"/>
    </row>
    <row r="240" spans="2:15" ht="30" hidden="1" outlineLevel="1">
      <c r="B240" s="76"/>
      <c r="C240" s="7" t="s">
        <v>116</v>
      </c>
      <c r="D240" s="23"/>
      <c r="E240" s="13"/>
      <c r="F240" s="70" t="s">
        <v>624</v>
      </c>
      <c r="G240" s="13"/>
      <c r="H240" s="75" t="s">
        <v>2108</v>
      </c>
      <c r="O240" s="80"/>
    </row>
    <row r="241" spans="2:15" ht="30" hidden="1" outlineLevel="1">
      <c r="B241" s="76"/>
      <c r="C241" s="7" t="s">
        <v>116</v>
      </c>
      <c r="D241" s="23"/>
      <c r="E241" s="13"/>
      <c r="F241" s="70" t="s">
        <v>625</v>
      </c>
      <c r="G241" s="13"/>
      <c r="H241" s="75" t="s">
        <v>2109</v>
      </c>
      <c r="O241" s="80"/>
    </row>
    <row r="242" spans="2:15" hidden="1" outlineLevel="1">
      <c r="B242" s="76"/>
      <c r="C242" s="7" t="s">
        <v>116</v>
      </c>
      <c r="D242" s="23"/>
      <c r="E242" s="13"/>
      <c r="F242" s="70" t="s">
        <v>626</v>
      </c>
      <c r="G242" s="13"/>
      <c r="H242" s="75" t="s">
        <v>2082</v>
      </c>
      <c r="O242" s="80"/>
    </row>
    <row r="243" spans="2:15" ht="30" hidden="1" outlineLevel="1">
      <c r="B243" s="76"/>
      <c r="C243" s="7" t="s">
        <v>116</v>
      </c>
      <c r="D243" s="23"/>
      <c r="E243" s="13"/>
      <c r="F243" s="70" t="s">
        <v>627</v>
      </c>
      <c r="G243" s="13"/>
      <c r="H243" s="75" t="s">
        <v>2110</v>
      </c>
      <c r="O243" s="80"/>
    </row>
    <row r="244" spans="2:15" hidden="1" outlineLevel="1">
      <c r="B244" s="76"/>
      <c r="C244" s="7" t="s">
        <v>116</v>
      </c>
      <c r="D244" s="23"/>
      <c r="E244" s="13"/>
      <c r="F244" s="70" t="s">
        <v>634</v>
      </c>
      <c r="G244" s="13"/>
      <c r="H244" s="75" t="s">
        <v>2105</v>
      </c>
      <c r="O244" s="81"/>
    </row>
    <row r="245" spans="2:15" hidden="1" outlineLevel="1">
      <c r="B245" s="76"/>
      <c r="C245" s="7" t="s">
        <v>116</v>
      </c>
      <c r="D245" s="23"/>
      <c r="E245" s="13"/>
      <c r="F245" s="70" t="s">
        <v>638</v>
      </c>
      <c r="G245" s="13"/>
      <c r="H245" s="75" t="s">
        <v>2100</v>
      </c>
      <c r="O245" s="80"/>
    </row>
    <row r="246" spans="2:15" hidden="1" outlineLevel="1">
      <c r="B246" s="76"/>
      <c r="C246" s="7" t="s">
        <v>116</v>
      </c>
      <c r="D246" s="23"/>
      <c r="E246" s="13"/>
      <c r="F246" s="70" t="s">
        <v>639</v>
      </c>
      <c r="G246" s="13"/>
      <c r="H246" s="75" t="s">
        <v>2090</v>
      </c>
      <c r="O246" s="80"/>
    </row>
    <row r="247" spans="2:15" hidden="1" outlineLevel="1">
      <c r="B247" s="76"/>
      <c r="C247" s="7" t="s">
        <v>116</v>
      </c>
      <c r="D247" s="23"/>
      <c r="E247" s="13"/>
      <c r="F247" s="70" t="s">
        <v>640</v>
      </c>
      <c r="G247" s="13"/>
      <c r="H247" s="75" t="s">
        <v>2096</v>
      </c>
      <c r="O247" s="80"/>
    </row>
    <row r="248" spans="2:15" hidden="1" outlineLevel="1">
      <c r="B248" s="76"/>
      <c r="C248" s="7" t="s">
        <v>116</v>
      </c>
      <c r="D248" s="23"/>
      <c r="E248" s="13"/>
      <c r="F248" s="70" t="s">
        <v>641</v>
      </c>
      <c r="G248" s="13"/>
      <c r="H248" s="75" t="s">
        <v>2113</v>
      </c>
      <c r="O248" s="80"/>
    </row>
    <row r="249" spans="2:15" hidden="1" outlineLevel="1">
      <c r="B249" s="76"/>
      <c r="C249" s="7" t="s">
        <v>116</v>
      </c>
      <c r="D249" s="23"/>
      <c r="E249" s="13"/>
      <c r="F249" s="70" t="s">
        <v>642</v>
      </c>
      <c r="G249" s="13"/>
      <c r="H249" s="75" t="s">
        <v>2101</v>
      </c>
      <c r="O249" s="80"/>
    </row>
    <row r="250" spans="2:15" ht="30" hidden="1" outlineLevel="1">
      <c r="B250" s="76"/>
      <c r="C250" s="7" t="s">
        <v>116</v>
      </c>
      <c r="D250" s="23"/>
      <c r="E250" s="13"/>
      <c r="F250" s="70" t="s">
        <v>2125</v>
      </c>
      <c r="G250" s="13"/>
      <c r="H250" s="75" t="s">
        <v>2084</v>
      </c>
      <c r="O250" s="80"/>
    </row>
    <row r="251" spans="2:15" ht="32.1" hidden="1" customHeight="1" outlineLevel="1">
      <c r="B251" s="76"/>
      <c r="C251" s="7" t="s">
        <v>116</v>
      </c>
      <c r="D251" s="23"/>
      <c r="E251" s="13"/>
      <c r="F251" s="70" t="s">
        <v>643</v>
      </c>
      <c r="G251" s="13"/>
      <c r="H251" s="75" t="s">
        <v>2123</v>
      </c>
      <c r="O251" s="81"/>
    </row>
    <row r="252" spans="2:15" hidden="1" outlineLevel="1">
      <c r="B252" s="76"/>
      <c r="C252" s="7" t="s">
        <v>116</v>
      </c>
      <c r="D252" s="23"/>
      <c r="E252" s="13"/>
      <c r="F252" s="70" t="s">
        <v>644</v>
      </c>
      <c r="G252" s="13"/>
      <c r="H252" s="75" t="s">
        <v>2087</v>
      </c>
      <c r="O252" s="80"/>
    </row>
    <row r="253" spans="2:15" hidden="1" outlineLevel="1">
      <c r="B253" s="76"/>
      <c r="C253" s="7" t="s">
        <v>116</v>
      </c>
      <c r="D253" s="23"/>
      <c r="E253" s="13"/>
      <c r="F253" s="70" t="s">
        <v>645</v>
      </c>
      <c r="G253" s="13"/>
      <c r="H253" s="75" t="s">
        <v>2075</v>
      </c>
      <c r="O253" s="80"/>
    </row>
    <row r="254" spans="2:15" hidden="1" outlineLevel="1">
      <c r="B254" s="76"/>
      <c r="C254" s="7" t="s">
        <v>116</v>
      </c>
      <c r="D254" s="23"/>
      <c r="E254" s="13"/>
      <c r="F254" s="70" t="s">
        <v>646</v>
      </c>
      <c r="G254" s="13"/>
      <c r="H254" s="75" t="s">
        <v>2083</v>
      </c>
    </row>
    <row r="255" spans="2:15" hidden="1" outlineLevel="1">
      <c r="B255" s="76"/>
      <c r="C255" s="7" t="s">
        <v>116</v>
      </c>
      <c r="D255" s="23"/>
      <c r="E255" s="13"/>
      <c r="F255" s="70" t="s">
        <v>647</v>
      </c>
      <c r="G255" s="13"/>
      <c r="H255" s="75" t="s">
        <v>2114</v>
      </c>
      <c r="O255" s="80"/>
    </row>
    <row r="256" spans="2:15" ht="30" hidden="1" outlineLevel="1">
      <c r="B256" s="76"/>
      <c r="C256" s="7" t="s">
        <v>116</v>
      </c>
      <c r="D256" s="23"/>
      <c r="E256" s="13"/>
      <c r="F256" s="70" t="s">
        <v>648</v>
      </c>
      <c r="G256" s="13"/>
      <c r="H256" s="28" t="s">
        <v>632</v>
      </c>
      <c r="O256" s="80"/>
    </row>
    <row r="257" spans="2:15" hidden="1" outlineLevel="1">
      <c r="B257" s="76"/>
      <c r="C257" s="7" t="s">
        <v>116</v>
      </c>
      <c r="D257" s="23"/>
      <c r="E257" s="13"/>
      <c r="F257" s="70" t="s">
        <v>654</v>
      </c>
      <c r="G257" s="13"/>
      <c r="H257" s="75" t="s">
        <v>2076</v>
      </c>
      <c r="O257" s="80"/>
    </row>
    <row r="258" spans="2:15" hidden="1" outlineLevel="1">
      <c r="B258" s="76"/>
      <c r="C258" s="7" t="s">
        <v>116</v>
      </c>
      <c r="D258" s="23"/>
      <c r="E258" s="13"/>
      <c r="F258" s="70" t="s">
        <v>655</v>
      </c>
      <c r="G258" s="13"/>
      <c r="H258" s="75" t="s">
        <v>2115</v>
      </c>
      <c r="O258" s="80"/>
    </row>
    <row r="259" spans="2:15" hidden="1" outlineLevel="1">
      <c r="B259" s="76"/>
      <c r="C259" s="7" t="s">
        <v>116</v>
      </c>
      <c r="D259" s="23"/>
      <c r="E259" s="13"/>
      <c r="F259" s="70" t="s">
        <v>656</v>
      </c>
      <c r="G259" s="13"/>
      <c r="H259" s="75" t="s">
        <v>2117</v>
      </c>
      <c r="O259" s="80"/>
    </row>
    <row r="260" spans="2:15" ht="30" hidden="1" outlineLevel="1">
      <c r="B260" s="76"/>
      <c r="C260" s="7" t="s">
        <v>116</v>
      </c>
      <c r="D260" s="23"/>
      <c r="E260" s="13"/>
      <c r="F260" s="70" t="s">
        <v>2126</v>
      </c>
      <c r="G260" s="13"/>
      <c r="H260" s="28" t="s">
        <v>633</v>
      </c>
      <c r="O260" s="80"/>
    </row>
    <row r="261" spans="2:15" ht="15.95" hidden="1" customHeight="1" outlineLevel="1">
      <c r="B261" s="76"/>
      <c r="C261" s="7" t="s">
        <v>116</v>
      </c>
      <c r="D261" s="23"/>
      <c r="E261" s="13"/>
      <c r="F261" s="70" t="s">
        <v>2127</v>
      </c>
      <c r="G261" s="13"/>
      <c r="H261" s="28" t="s">
        <v>2116</v>
      </c>
      <c r="O261" s="80"/>
    </row>
    <row r="262" spans="2:15" ht="30" hidden="1" outlineLevel="1">
      <c r="B262" s="76"/>
      <c r="C262" s="7" t="s">
        <v>116</v>
      </c>
      <c r="D262" s="23"/>
      <c r="E262" s="13"/>
      <c r="F262" s="70" t="s">
        <v>2128</v>
      </c>
      <c r="G262" s="13"/>
      <c r="H262" s="75" t="s">
        <v>2118</v>
      </c>
      <c r="O262" s="14"/>
    </row>
    <row r="263" spans="2:15" hidden="1" outlineLevel="1">
      <c r="B263" s="76"/>
      <c r="C263" s="7" t="s">
        <v>116</v>
      </c>
      <c r="D263" s="23"/>
      <c r="E263" s="13"/>
      <c r="F263" s="70" t="s">
        <v>2129</v>
      </c>
      <c r="G263" s="13"/>
      <c r="H263" s="75" t="s">
        <v>2094</v>
      </c>
    </row>
    <row r="264" spans="2:15" hidden="1" outlineLevel="1">
      <c r="B264" s="76"/>
      <c r="C264" s="7" t="s">
        <v>116</v>
      </c>
      <c r="D264" s="23"/>
      <c r="E264" s="13"/>
      <c r="F264" s="70" t="s">
        <v>2130</v>
      </c>
      <c r="G264" s="13"/>
      <c r="H264" s="28" t="s">
        <v>636</v>
      </c>
      <c r="O264" s="81"/>
    </row>
    <row r="265" spans="2:15" hidden="1" outlineLevel="1">
      <c r="B265" s="76"/>
      <c r="C265" s="7" t="s">
        <v>116</v>
      </c>
      <c r="D265" s="23"/>
      <c r="E265" s="13"/>
      <c r="F265" s="70" t="s">
        <v>2131</v>
      </c>
      <c r="G265" s="13"/>
      <c r="H265" s="28" t="s">
        <v>653</v>
      </c>
      <c r="O265" s="80"/>
    </row>
    <row r="266" spans="2:15" hidden="1" outlineLevel="1">
      <c r="B266" s="76"/>
      <c r="C266" s="7" t="s">
        <v>116</v>
      </c>
      <c r="D266" s="23"/>
      <c r="E266" s="13"/>
      <c r="F266" s="70" t="s">
        <v>2132</v>
      </c>
      <c r="G266" s="13"/>
      <c r="H266" s="28" t="s">
        <v>2144</v>
      </c>
    </row>
    <row r="267" spans="2:15" hidden="1" outlineLevel="1">
      <c r="B267" s="76"/>
      <c r="C267" s="7" t="s">
        <v>116</v>
      </c>
      <c r="D267" s="23"/>
      <c r="E267" s="13"/>
      <c r="F267" s="70" t="s">
        <v>2133</v>
      </c>
      <c r="G267" s="13"/>
      <c r="H267" s="75" t="s">
        <v>2124</v>
      </c>
      <c r="O267" s="80"/>
    </row>
    <row r="268" spans="2:15" hidden="1" outlineLevel="1">
      <c r="B268" s="76"/>
      <c r="C268" s="7" t="s">
        <v>116</v>
      </c>
      <c r="D268" s="23"/>
      <c r="E268" s="13"/>
      <c r="F268" s="70" t="s">
        <v>2134</v>
      </c>
      <c r="G268" s="13"/>
      <c r="H268" s="75" t="s">
        <v>2093</v>
      </c>
      <c r="O268" s="80"/>
    </row>
    <row r="269" spans="2:15" hidden="1" outlineLevel="1">
      <c r="B269" s="76"/>
      <c r="C269" s="7" t="s">
        <v>116</v>
      </c>
      <c r="D269" s="23"/>
      <c r="E269" s="13"/>
      <c r="F269" s="70" t="s">
        <v>2135</v>
      </c>
      <c r="G269" s="13"/>
      <c r="H269" s="75" t="s">
        <v>2077</v>
      </c>
      <c r="O269" s="80"/>
    </row>
    <row r="270" spans="2:15" hidden="1" outlineLevel="1">
      <c r="B270" s="76"/>
      <c r="C270" s="7" t="s">
        <v>116</v>
      </c>
      <c r="D270" s="23"/>
      <c r="E270" s="13"/>
      <c r="F270" s="70" t="s">
        <v>2136</v>
      </c>
      <c r="G270" s="13"/>
      <c r="H270" s="28" t="s">
        <v>2086</v>
      </c>
      <c r="O270" s="81"/>
    </row>
    <row r="271" spans="2:15" ht="30" hidden="1" outlineLevel="1">
      <c r="B271" s="76"/>
      <c r="C271" s="7" t="s">
        <v>116</v>
      </c>
      <c r="D271" s="23"/>
      <c r="E271" s="13"/>
      <c r="F271" s="70" t="s">
        <v>2137</v>
      </c>
      <c r="G271" s="13"/>
      <c r="H271" s="75" t="s">
        <v>2091</v>
      </c>
      <c r="O271" s="80"/>
    </row>
    <row r="272" spans="2:15" ht="17.100000000000001" hidden="1" customHeight="1" outlineLevel="1">
      <c r="B272" s="76"/>
      <c r="C272" s="7" t="s">
        <v>116</v>
      </c>
      <c r="D272" s="23"/>
      <c r="E272" s="13"/>
      <c r="F272" s="70" t="s">
        <v>2138</v>
      </c>
      <c r="G272" s="13"/>
      <c r="H272" s="75" t="s">
        <v>2120</v>
      </c>
      <c r="O272" s="80"/>
    </row>
    <row r="273" spans="2:15" hidden="1" outlineLevel="1">
      <c r="B273" s="76"/>
      <c r="C273" s="7" t="s">
        <v>116</v>
      </c>
      <c r="D273" s="23"/>
      <c r="E273" s="13"/>
      <c r="F273" s="70" t="s">
        <v>2139</v>
      </c>
      <c r="G273" s="13"/>
      <c r="H273" s="75" t="s">
        <v>2141</v>
      </c>
      <c r="O273" s="80"/>
    </row>
    <row r="274" spans="2:15" hidden="1" outlineLevel="1">
      <c r="B274" s="76"/>
      <c r="C274" s="7" t="s">
        <v>116</v>
      </c>
      <c r="D274" s="23"/>
      <c r="E274" s="13"/>
      <c r="F274" s="70"/>
      <c r="G274" s="30" t="s">
        <v>121</v>
      </c>
      <c r="H274" s="75" t="s">
        <v>2142</v>
      </c>
      <c r="O274" s="80"/>
    </row>
    <row r="275" spans="2:15" hidden="1" outlineLevel="1">
      <c r="B275" s="76"/>
      <c r="C275" s="7" t="s">
        <v>116</v>
      </c>
      <c r="D275" s="23"/>
      <c r="E275" s="13"/>
      <c r="F275" s="70"/>
      <c r="G275" s="30" t="s">
        <v>123</v>
      </c>
      <c r="H275" s="28" t="s">
        <v>2143</v>
      </c>
      <c r="O275" s="80"/>
    </row>
    <row r="276" spans="2:15" hidden="1" outlineLevel="1">
      <c r="B276" s="76"/>
      <c r="C276" s="7" t="s">
        <v>116</v>
      </c>
      <c r="D276" s="23"/>
      <c r="E276" s="13"/>
      <c r="F276" s="70" t="s">
        <v>2140</v>
      </c>
      <c r="G276" s="30"/>
      <c r="H276" s="28" t="s">
        <v>2121</v>
      </c>
      <c r="O276" s="81"/>
    </row>
    <row r="277" spans="2:15" ht="30" hidden="1" outlineLevel="1">
      <c r="B277" s="76"/>
      <c r="C277" s="7" t="s">
        <v>116</v>
      </c>
      <c r="D277" s="23"/>
      <c r="E277" s="13"/>
      <c r="F277" s="70" t="s">
        <v>2146</v>
      </c>
      <c r="G277" s="13"/>
      <c r="H277" s="28" t="s">
        <v>637</v>
      </c>
      <c r="O277" s="81"/>
    </row>
    <row r="278" spans="2:15" hidden="1" outlineLevel="1">
      <c r="B278" s="76"/>
      <c r="C278" s="7" t="s">
        <v>116</v>
      </c>
      <c r="D278" s="23"/>
      <c r="E278" s="13"/>
      <c r="F278" s="70" t="s">
        <v>2147</v>
      </c>
      <c r="G278" s="13"/>
      <c r="H278" s="75" t="s">
        <v>2098</v>
      </c>
      <c r="O278" s="80"/>
    </row>
    <row r="279" spans="2:15" hidden="1" outlineLevel="1">
      <c r="B279" s="76"/>
      <c r="C279" s="7" t="s">
        <v>116</v>
      </c>
      <c r="D279" s="23"/>
      <c r="E279" s="13"/>
      <c r="F279" s="70" t="s">
        <v>2145</v>
      </c>
      <c r="G279" s="13"/>
      <c r="H279" s="28" t="s">
        <v>650</v>
      </c>
      <c r="O279" s="81"/>
    </row>
    <row r="280" spans="2:15" hidden="1" outlineLevel="1">
      <c r="B280" s="76"/>
      <c r="C280" s="7" t="s">
        <v>116</v>
      </c>
      <c r="D280" s="23"/>
      <c r="E280" s="13"/>
      <c r="F280" s="70" t="s">
        <v>2148</v>
      </c>
      <c r="G280" s="13"/>
      <c r="H280" s="75" t="s">
        <v>2149</v>
      </c>
      <c r="O280" s="80"/>
    </row>
    <row r="281" spans="2:15" hidden="1" outlineLevel="1">
      <c r="B281" s="76"/>
      <c r="C281" s="7" t="s">
        <v>116</v>
      </c>
      <c r="D281" s="23"/>
      <c r="E281" s="13"/>
      <c r="F281" s="70"/>
      <c r="G281" s="141" t="s">
        <v>121</v>
      </c>
      <c r="H281" s="75" t="s">
        <v>2150</v>
      </c>
      <c r="O281" s="80"/>
    </row>
    <row r="282" spans="2:15" hidden="1" outlineLevel="1">
      <c r="B282" s="76"/>
      <c r="C282" s="7" t="s">
        <v>116</v>
      </c>
      <c r="D282" s="23"/>
      <c r="E282" s="13"/>
      <c r="F282" s="70"/>
      <c r="G282" s="141" t="s">
        <v>123</v>
      </c>
      <c r="H282" s="75" t="s">
        <v>2151</v>
      </c>
      <c r="O282" s="81"/>
    </row>
    <row r="283" spans="2:15" hidden="1" outlineLevel="1">
      <c r="B283" s="76"/>
      <c r="C283" s="7" t="s">
        <v>116</v>
      </c>
      <c r="D283" s="23"/>
      <c r="E283" s="13"/>
      <c r="F283" s="70"/>
      <c r="G283" s="141" t="s">
        <v>126</v>
      </c>
      <c r="H283" s="75" t="s">
        <v>2152</v>
      </c>
      <c r="O283" s="80"/>
    </row>
    <row r="284" spans="2:15" hidden="1" outlineLevel="1">
      <c r="B284" s="76"/>
      <c r="C284" s="7" t="s">
        <v>116</v>
      </c>
      <c r="D284" s="23"/>
      <c r="E284" s="13"/>
      <c r="F284" s="70" t="s">
        <v>2153</v>
      </c>
      <c r="G284" s="13"/>
      <c r="H284" s="75" t="s">
        <v>2097</v>
      </c>
      <c r="O284" s="81"/>
    </row>
    <row r="285" spans="2:15" hidden="1" outlineLevel="1">
      <c r="B285" s="76"/>
      <c r="C285" s="7" t="s">
        <v>116</v>
      </c>
      <c r="D285" s="23"/>
      <c r="E285" s="13"/>
      <c r="F285" s="70" t="s">
        <v>2154</v>
      </c>
      <c r="G285" s="13"/>
      <c r="H285" s="75" t="s">
        <v>2103</v>
      </c>
      <c r="O285" s="80"/>
    </row>
    <row r="286" spans="2:15" hidden="1" outlineLevel="1">
      <c r="B286" s="76"/>
      <c r="C286" s="7" t="s">
        <v>116</v>
      </c>
      <c r="D286" s="23"/>
      <c r="E286" s="13"/>
      <c r="F286" s="70" t="s">
        <v>2155</v>
      </c>
      <c r="G286" s="13"/>
      <c r="H286" s="75" t="s">
        <v>2102</v>
      </c>
      <c r="O286" s="81"/>
    </row>
    <row r="287" spans="2:15" hidden="1" outlineLevel="1">
      <c r="B287" s="76"/>
      <c r="C287" s="7" t="s">
        <v>116</v>
      </c>
      <c r="D287" s="23"/>
      <c r="E287" s="13"/>
      <c r="F287" s="70" t="s">
        <v>2156</v>
      </c>
      <c r="G287" s="13"/>
      <c r="H287" s="75" t="s">
        <v>2099</v>
      </c>
      <c r="O287" s="80"/>
    </row>
    <row r="288" spans="2:15" hidden="1" outlineLevel="1">
      <c r="B288" s="76"/>
      <c r="C288" s="7" t="s">
        <v>116</v>
      </c>
      <c r="D288" s="23"/>
      <c r="E288" s="13"/>
      <c r="F288" s="70" t="s">
        <v>2157</v>
      </c>
      <c r="G288" s="13"/>
      <c r="H288" s="75" t="s">
        <v>2089</v>
      </c>
      <c r="O288" s="80"/>
    </row>
    <row r="289" spans="2:15" hidden="1" outlineLevel="1">
      <c r="B289" s="76"/>
      <c r="C289" s="7" t="s">
        <v>116</v>
      </c>
      <c r="D289" s="23"/>
      <c r="E289" s="13"/>
      <c r="F289" s="70" t="s">
        <v>2158</v>
      </c>
      <c r="G289" s="13"/>
      <c r="H289" s="28" t="s">
        <v>649</v>
      </c>
      <c r="O289" s="80"/>
    </row>
    <row r="290" spans="2:15" hidden="1" outlineLevel="1">
      <c r="B290" s="76"/>
      <c r="C290" s="7" t="s">
        <v>116</v>
      </c>
      <c r="D290" s="23"/>
      <c r="E290" s="13"/>
      <c r="F290" s="70" t="s">
        <v>2159</v>
      </c>
      <c r="G290" s="13"/>
      <c r="H290" s="75" t="s">
        <v>2088</v>
      </c>
      <c r="O290" s="80"/>
    </row>
    <row r="291" spans="2:15" hidden="1" outlineLevel="1">
      <c r="B291" s="76"/>
      <c r="C291" s="7" t="s">
        <v>116</v>
      </c>
      <c r="D291" s="23"/>
      <c r="E291" s="13"/>
      <c r="F291" s="70" t="s">
        <v>2161</v>
      </c>
      <c r="G291" s="142"/>
      <c r="H291" s="75" t="s">
        <v>2160</v>
      </c>
      <c r="O291" s="80"/>
    </row>
    <row r="292" spans="2:15" hidden="1" outlineLevel="1">
      <c r="B292" s="76"/>
      <c r="C292" s="7" t="s">
        <v>116</v>
      </c>
      <c r="D292" s="23"/>
      <c r="E292" s="13"/>
      <c r="F292" s="70"/>
      <c r="G292" s="143" t="s">
        <v>121</v>
      </c>
      <c r="H292" s="75" t="s">
        <v>2162</v>
      </c>
      <c r="O292" s="81"/>
    </row>
    <row r="293" spans="2:15" hidden="1" outlineLevel="1">
      <c r="B293" s="76"/>
      <c r="C293" s="7" t="s">
        <v>116</v>
      </c>
      <c r="D293" s="23"/>
      <c r="E293" s="13"/>
      <c r="F293" s="70"/>
      <c r="G293" s="143" t="s">
        <v>123</v>
      </c>
      <c r="H293" s="75" t="s">
        <v>2163</v>
      </c>
      <c r="O293" s="80"/>
    </row>
    <row r="294" spans="2:15" hidden="1" outlineLevel="1">
      <c r="B294" s="76"/>
      <c r="C294" s="7" t="s">
        <v>116</v>
      </c>
      <c r="D294" s="23"/>
      <c r="E294" s="13"/>
      <c r="F294" s="70" t="s">
        <v>2164</v>
      </c>
      <c r="G294" s="142"/>
      <c r="H294" s="75" t="s">
        <v>2112</v>
      </c>
      <c r="O294" s="81"/>
    </row>
    <row r="295" spans="2:15" hidden="1" outlineLevel="1">
      <c r="B295" s="76"/>
      <c r="C295" s="7" t="s">
        <v>116</v>
      </c>
      <c r="D295" s="23"/>
      <c r="E295" s="13"/>
      <c r="F295" s="70" t="s">
        <v>2165</v>
      </c>
      <c r="G295" s="142"/>
      <c r="H295" s="75" t="s">
        <v>2104</v>
      </c>
      <c r="O295" s="80"/>
    </row>
    <row r="296" spans="2:15" hidden="1" outlineLevel="1">
      <c r="B296" s="76"/>
      <c r="C296" s="7" t="s">
        <v>116</v>
      </c>
      <c r="D296" s="23"/>
      <c r="E296" s="13"/>
      <c r="F296" s="70" t="s">
        <v>2166</v>
      </c>
      <c r="G296" s="142"/>
      <c r="H296" s="75" t="s">
        <v>2085</v>
      </c>
      <c r="O296" s="80"/>
    </row>
    <row r="297" spans="2:15" hidden="1" outlineLevel="1">
      <c r="B297" s="76"/>
      <c r="C297" s="7" t="s">
        <v>116</v>
      </c>
      <c r="D297" s="23"/>
      <c r="E297" s="13"/>
      <c r="F297" s="70" t="s">
        <v>2167</v>
      </c>
      <c r="G297" s="142"/>
      <c r="H297" s="28" t="s">
        <v>631</v>
      </c>
      <c r="O297" s="80"/>
    </row>
    <row r="298" spans="2:15" ht="30" hidden="1" outlineLevel="1">
      <c r="B298" s="76"/>
      <c r="C298" s="7" t="s">
        <v>116</v>
      </c>
      <c r="D298" s="23"/>
      <c r="E298" s="13"/>
      <c r="F298" s="70" t="s">
        <v>2168</v>
      </c>
      <c r="G298" s="142"/>
      <c r="H298" s="28" t="s">
        <v>651</v>
      </c>
      <c r="O298" s="81"/>
    </row>
    <row r="299" spans="2:15" ht="30" hidden="1" outlineLevel="1">
      <c r="B299" s="76"/>
      <c r="C299" s="7" t="s">
        <v>116</v>
      </c>
      <c r="D299" s="23"/>
      <c r="E299" s="13"/>
      <c r="F299" s="70" t="s">
        <v>2169</v>
      </c>
      <c r="G299" s="142"/>
      <c r="H299" s="28" t="s">
        <v>652</v>
      </c>
      <c r="O299" s="80"/>
    </row>
    <row r="300" spans="2:15" hidden="1" outlineLevel="1">
      <c r="B300" s="76"/>
      <c r="C300" s="7" t="s">
        <v>116</v>
      </c>
      <c r="D300" s="23"/>
      <c r="E300" s="13"/>
      <c r="F300" s="70" t="s">
        <v>2170</v>
      </c>
      <c r="G300" s="142"/>
      <c r="H300" s="28" t="s">
        <v>628</v>
      </c>
      <c r="O300" s="14"/>
    </row>
    <row r="301" spans="2:15" hidden="1" outlineLevel="1">
      <c r="B301" s="76"/>
      <c r="C301" s="7" t="s">
        <v>116</v>
      </c>
      <c r="D301" s="23"/>
      <c r="E301" s="13"/>
      <c r="F301" s="70" t="s">
        <v>2171</v>
      </c>
      <c r="G301" s="122"/>
      <c r="H301" s="28" t="s">
        <v>2172</v>
      </c>
    </row>
    <row r="302" spans="2:15" hidden="1" outlineLevel="1">
      <c r="B302" s="76"/>
      <c r="C302" s="7" t="s">
        <v>116</v>
      </c>
      <c r="D302" s="23"/>
      <c r="E302" s="13"/>
      <c r="F302" s="70"/>
      <c r="G302" s="30" t="s">
        <v>121</v>
      </c>
      <c r="H302" s="28" t="s">
        <v>2173</v>
      </c>
    </row>
    <row r="303" spans="2:15" ht="30" hidden="1" outlineLevel="1">
      <c r="B303" s="76"/>
      <c r="C303" s="7" t="s">
        <v>116</v>
      </c>
      <c r="D303" s="23"/>
      <c r="E303" s="13"/>
      <c r="F303" s="70"/>
      <c r="G303" s="30" t="s">
        <v>123</v>
      </c>
      <c r="H303" s="28" t="s">
        <v>2174</v>
      </c>
      <c r="O303" s="80"/>
    </row>
    <row r="304" spans="2:15" ht="30" hidden="1" outlineLevel="1">
      <c r="B304" s="76"/>
      <c r="C304" s="7" t="s">
        <v>116</v>
      </c>
      <c r="D304" s="23"/>
      <c r="E304" s="13"/>
      <c r="F304" s="70"/>
      <c r="G304" s="30" t="s">
        <v>126</v>
      </c>
      <c r="H304" s="28" t="s">
        <v>2175</v>
      </c>
      <c r="O304" s="80"/>
    </row>
    <row r="305" spans="2:15" ht="30" hidden="1" outlineLevel="1">
      <c r="B305" s="76"/>
      <c r="C305" s="7" t="s">
        <v>116</v>
      </c>
      <c r="D305" s="23"/>
      <c r="E305" s="13"/>
      <c r="F305" s="70"/>
      <c r="G305" s="30" t="s">
        <v>127</v>
      </c>
      <c r="H305" s="28" t="s">
        <v>2176</v>
      </c>
      <c r="O305" s="80"/>
    </row>
    <row r="306" spans="2:15" hidden="1" outlineLevel="1">
      <c r="B306" s="76"/>
      <c r="C306" s="7" t="s">
        <v>116</v>
      </c>
      <c r="D306" s="23"/>
      <c r="E306" s="13"/>
      <c r="F306" s="70" t="s">
        <v>2177</v>
      </c>
      <c r="G306" s="30"/>
      <c r="H306" s="28" t="s">
        <v>2178</v>
      </c>
    </row>
    <row r="307" spans="2:15" ht="30" hidden="1" outlineLevel="1">
      <c r="B307" s="76"/>
      <c r="C307" s="7" t="s">
        <v>116</v>
      </c>
      <c r="D307" s="23"/>
      <c r="E307" s="13"/>
      <c r="F307" s="70"/>
      <c r="G307" s="78" t="s">
        <v>121</v>
      </c>
      <c r="H307" s="28" t="s">
        <v>2179</v>
      </c>
    </row>
    <row r="308" spans="2:15" hidden="1" outlineLevel="1">
      <c r="B308" s="76"/>
      <c r="C308" s="7" t="s">
        <v>116</v>
      </c>
      <c r="D308" s="23"/>
      <c r="E308" s="13"/>
      <c r="F308" s="70"/>
      <c r="G308" s="78" t="s">
        <v>123</v>
      </c>
      <c r="H308" s="75" t="s">
        <v>2180</v>
      </c>
    </row>
    <row r="309" spans="2:15" hidden="1" outlineLevel="1">
      <c r="B309" s="76"/>
      <c r="C309" s="7" t="s">
        <v>116</v>
      </c>
      <c r="D309" s="23"/>
      <c r="E309" s="13"/>
      <c r="F309" s="70"/>
      <c r="G309" s="78" t="s">
        <v>126</v>
      </c>
      <c r="H309" s="75" t="s">
        <v>2080</v>
      </c>
    </row>
    <row r="310" spans="2:15" hidden="1" outlineLevel="1">
      <c r="B310" s="76"/>
      <c r="C310" s="7" t="s">
        <v>116</v>
      </c>
      <c r="D310" s="23"/>
      <c r="E310" s="13"/>
      <c r="F310" s="70"/>
      <c r="G310" s="78" t="s">
        <v>127</v>
      </c>
      <c r="H310" s="75" t="s">
        <v>2092</v>
      </c>
      <c r="O310" s="80"/>
    </row>
    <row r="311" spans="2:15" hidden="1" outlineLevel="1">
      <c r="B311" s="76"/>
      <c r="C311" s="7" t="s">
        <v>116</v>
      </c>
      <c r="D311" s="23"/>
      <c r="E311" s="13"/>
      <c r="F311" s="70"/>
      <c r="G311" s="144" t="s">
        <v>140</v>
      </c>
      <c r="H311" s="75" t="s">
        <v>2181</v>
      </c>
    </row>
    <row r="312" spans="2:15" hidden="1" outlineLevel="1">
      <c r="B312" s="76"/>
      <c r="C312" s="7" t="s">
        <v>116</v>
      </c>
      <c r="D312" s="23"/>
      <c r="E312" s="13"/>
      <c r="F312" s="70"/>
      <c r="G312" s="144" t="s">
        <v>144</v>
      </c>
      <c r="H312" s="28" t="s">
        <v>2182</v>
      </c>
    </row>
    <row r="313" spans="2:15" ht="30" hidden="1" outlineLevel="1">
      <c r="B313" s="76"/>
      <c r="C313" s="7" t="s">
        <v>116</v>
      </c>
      <c r="D313" s="23"/>
      <c r="E313" s="13"/>
      <c r="F313" s="70"/>
      <c r="G313" s="144" t="s">
        <v>353</v>
      </c>
      <c r="H313" s="28" t="s">
        <v>2183</v>
      </c>
    </row>
    <row r="314" spans="2:15" hidden="1" outlineLevel="1">
      <c r="B314" s="76"/>
      <c r="C314" s="7" t="s">
        <v>116</v>
      </c>
      <c r="D314" s="23"/>
      <c r="E314" s="13"/>
      <c r="F314" s="70"/>
      <c r="G314" s="144" t="s">
        <v>354</v>
      </c>
      <c r="H314" s="28" t="s">
        <v>2184</v>
      </c>
    </row>
    <row r="315" spans="2:15" hidden="1" outlineLevel="1">
      <c r="B315" s="76"/>
      <c r="C315" s="7" t="s">
        <v>116</v>
      </c>
      <c r="D315" s="23"/>
      <c r="E315" s="13"/>
      <c r="F315" s="70"/>
      <c r="G315" s="144" t="s">
        <v>355</v>
      </c>
      <c r="H315" s="28" t="s">
        <v>2185</v>
      </c>
    </row>
    <row r="316" spans="2:15" hidden="1" outlineLevel="1">
      <c r="B316" s="76"/>
      <c r="C316" s="7" t="s">
        <v>116</v>
      </c>
      <c r="D316" s="23"/>
      <c r="E316" s="13"/>
      <c r="F316" s="70"/>
      <c r="G316" s="144" t="s">
        <v>356</v>
      </c>
      <c r="H316" s="28" t="s">
        <v>2079</v>
      </c>
    </row>
    <row r="317" spans="2:15" hidden="1" outlineLevel="1">
      <c r="B317" s="76"/>
      <c r="C317" s="7" t="s">
        <v>116</v>
      </c>
      <c r="D317" s="23"/>
      <c r="E317" s="13"/>
      <c r="F317" s="70"/>
      <c r="G317" s="144" t="s">
        <v>542</v>
      </c>
      <c r="H317" s="28" t="s">
        <v>2095</v>
      </c>
    </row>
    <row r="318" spans="2:15" ht="30" hidden="1" outlineLevel="1">
      <c r="B318" s="76"/>
      <c r="C318" s="7" t="s">
        <v>116</v>
      </c>
      <c r="D318" s="23"/>
      <c r="E318" s="13"/>
      <c r="F318" s="70" t="s">
        <v>2186</v>
      </c>
      <c r="G318" s="13"/>
      <c r="H318" s="28" t="s">
        <v>635</v>
      </c>
      <c r="O318" s="80"/>
    </row>
    <row r="319" spans="2:15" hidden="1" outlineLevel="1">
      <c r="B319" s="76"/>
      <c r="C319" s="7" t="s">
        <v>116</v>
      </c>
      <c r="D319" s="23"/>
      <c r="E319" s="13"/>
      <c r="F319" s="70" t="s">
        <v>2187</v>
      </c>
      <c r="G319" s="13"/>
      <c r="H319" s="75" t="s">
        <v>2119</v>
      </c>
      <c r="O319" s="81"/>
    </row>
    <row r="320" spans="2:15" hidden="1" outlineLevel="1">
      <c r="B320" s="76"/>
      <c r="C320" s="7" t="s">
        <v>116</v>
      </c>
      <c r="D320" s="23"/>
      <c r="E320" s="13"/>
      <c r="F320" s="70" t="s">
        <v>2188</v>
      </c>
      <c r="G320" s="13"/>
      <c r="H320" s="75" t="s">
        <v>2078</v>
      </c>
    </row>
    <row r="321" spans="2:15" hidden="1" outlineLevel="1">
      <c r="B321" s="76"/>
      <c r="C321" s="7" t="s">
        <v>116</v>
      </c>
      <c r="D321" s="23"/>
      <c r="E321" s="13"/>
      <c r="F321" s="70"/>
      <c r="G321" s="13"/>
    </row>
    <row r="322" spans="2:15" collapsed="1">
      <c r="B322" s="76"/>
      <c r="C322" s="7" t="s">
        <v>116</v>
      </c>
      <c r="D322" s="51" t="s">
        <v>1582</v>
      </c>
      <c r="E322" s="35"/>
      <c r="F322" s="52" t="s">
        <v>1581</v>
      </c>
      <c r="G322" s="53"/>
      <c r="H322" s="54"/>
      <c r="K322" s="17"/>
      <c r="L322" s="89"/>
      <c r="M322" s="17"/>
      <c r="N322" s="17"/>
    </row>
    <row r="323" spans="2:15" hidden="1" outlineLevel="1">
      <c r="B323" s="76"/>
      <c r="C323" s="7" t="s">
        <v>116</v>
      </c>
      <c r="D323" s="23" t="s">
        <v>117</v>
      </c>
      <c r="E323" s="13"/>
      <c r="G323" s="69"/>
      <c r="K323" s="71"/>
      <c r="L323" s="87"/>
      <c r="M323" s="28"/>
      <c r="N323" s="28"/>
    </row>
    <row r="324" spans="2:15" hidden="1" outlineLevel="1">
      <c r="B324" s="76"/>
      <c r="C324" s="7" t="s">
        <v>116</v>
      </c>
      <c r="D324" s="23"/>
      <c r="E324" s="141">
        <v>1.1000000000000001</v>
      </c>
      <c r="F324" s="71" t="s">
        <v>677</v>
      </c>
      <c r="G324" s="69"/>
      <c r="K324" s="71"/>
      <c r="L324" s="87"/>
      <c r="M324" s="28"/>
      <c r="N324" s="28"/>
    </row>
    <row r="325" spans="2:15" hidden="1" outlineLevel="1">
      <c r="B325" s="76"/>
      <c r="C325" s="7" t="s">
        <v>116</v>
      </c>
      <c r="D325" s="23"/>
      <c r="E325" s="13"/>
      <c r="F325" s="11" t="s">
        <v>119</v>
      </c>
      <c r="G325" s="69"/>
      <c r="H325" s="75" t="s">
        <v>2301</v>
      </c>
      <c r="K325" s="71"/>
      <c r="L325" s="87"/>
      <c r="M325" s="28"/>
      <c r="N325" s="28"/>
    </row>
    <row r="326" spans="2:15" hidden="1" outlineLevel="1">
      <c r="B326" s="76"/>
      <c r="C326" s="7" t="s">
        <v>116</v>
      </c>
      <c r="D326" s="23"/>
      <c r="E326" s="13">
        <v>1.2</v>
      </c>
      <c r="F326" s="11" t="s">
        <v>2189</v>
      </c>
      <c r="G326" s="69"/>
      <c r="O326" s="14"/>
    </row>
    <row r="327" spans="2:15" hidden="1" outlineLevel="1">
      <c r="B327" s="76"/>
      <c r="C327" s="7" t="s">
        <v>116</v>
      </c>
      <c r="D327" s="145"/>
      <c r="F327" s="70" t="s">
        <v>119</v>
      </c>
      <c r="G327" s="69"/>
      <c r="H327" s="75" t="s">
        <v>2218</v>
      </c>
      <c r="O327" s="80"/>
    </row>
    <row r="328" spans="2:15" hidden="1" outlineLevel="1">
      <c r="B328" s="76"/>
      <c r="C328" s="7" t="s">
        <v>116</v>
      </c>
      <c r="D328" s="145"/>
      <c r="F328" s="70" t="s">
        <v>125</v>
      </c>
      <c r="G328" s="69"/>
      <c r="H328" s="75" t="s">
        <v>2248</v>
      </c>
      <c r="O328" s="80"/>
    </row>
    <row r="329" spans="2:15" hidden="1" outlineLevel="1">
      <c r="B329" s="76"/>
      <c r="C329" s="7" t="s">
        <v>116</v>
      </c>
      <c r="D329" s="145"/>
      <c r="F329" s="70" t="s">
        <v>158</v>
      </c>
      <c r="G329" s="69"/>
      <c r="H329" s="75" t="s">
        <v>2258</v>
      </c>
      <c r="O329" s="80"/>
    </row>
    <row r="330" spans="2:15" hidden="1" outlineLevel="1">
      <c r="B330" s="76"/>
      <c r="C330" s="7" t="s">
        <v>116</v>
      </c>
      <c r="D330" s="145"/>
      <c r="F330" s="70" t="s">
        <v>159</v>
      </c>
      <c r="G330" s="69"/>
      <c r="H330" s="75" t="s">
        <v>2228</v>
      </c>
      <c r="O330" s="80"/>
    </row>
    <row r="331" spans="2:15" hidden="1" outlineLevel="1">
      <c r="B331" s="76"/>
      <c r="C331" s="7" t="s">
        <v>116</v>
      </c>
      <c r="D331" s="145"/>
      <c r="F331" s="70" t="s">
        <v>621</v>
      </c>
      <c r="G331" s="69"/>
      <c r="H331" s="75" t="s">
        <v>2241</v>
      </c>
      <c r="O331" s="80"/>
    </row>
    <row r="332" spans="2:15" hidden="1" outlineLevel="1">
      <c r="B332" s="76"/>
      <c r="C332" s="7" t="s">
        <v>116</v>
      </c>
      <c r="D332" s="145"/>
      <c r="F332" s="70" t="s">
        <v>622</v>
      </c>
      <c r="G332" s="69"/>
      <c r="H332" s="75" t="s">
        <v>2192</v>
      </c>
      <c r="O332" s="80"/>
    </row>
    <row r="333" spans="2:15" hidden="1" outlineLevel="1">
      <c r="B333" s="76"/>
      <c r="C333" s="7" t="s">
        <v>116</v>
      </c>
      <c r="D333" s="145"/>
      <c r="F333" s="70" t="s">
        <v>623</v>
      </c>
      <c r="G333" s="69"/>
      <c r="H333" s="75" t="s">
        <v>2256</v>
      </c>
      <c r="O333" s="80"/>
    </row>
    <row r="334" spans="2:15" hidden="1" outlineLevel="1">
      <c r="B334" s="76"/>
      <c r="C334" s="7" t="s">
        <v>116</v>
      </c>
      <c r="D334" s="145"/>
      <c r="F334" s="70" t="s">
        <v>624</v>
      </c>
      <c r="G334" s="69"/>
      <c r="H334" s="75" t="s">
        <v>2223</v>
      </c>
    </row>
    <row r="335" spans="2:15" hidden="1" outlineLevel="1">
      <c r="B335" s="76"/>
      <c r="C335" s="7" t="s">
        <v>116</v>
      </c>
      <c r="D335" s="145"/>
      <c r="F335" s="70" t="s">
        <v>625</v>
      </c>
      <c r="G335" s="69"/>
      <c r="H335" s="75" t="s">
        <v>2206</v>
      </c>
      <c r="O335" s="80"/>
    </row>
    <row r="336" spans="2:15" hidden="1" outlineLevel="1">
      <c r="B336" s="76"/>
      <c r="C336" s="7" t="s">
        <v>116</v>
      </c>
      <c r="D336" s="145"/>
      <c r="F336" s="70" t="s">
        <v>626</v>
      </c>
      <c r="G336" s="69"/>
      <c r="H336" s="75" t="s">
        <v>2197</v>
      </c>
      <c r="O336" s="80"/>
    </row>
    <row r="337" spans="2:15" hidden="1" outlineLevel="1">
      <c r="B337" s="76"/>
      <c r="C337" s="7" t="s">
        <v>116</v>
      </c>
      <c r="D337" s="145"/>
      <c r="F337" s="70" t="s">
        <v>627</v>
      </c>
      <c r="G337" s="69"/>
      <c r="H337" s="75" t="s">
        <v>2242</v>
      </c>
      <c r="O337" s="80"/>
    </row>
    <row r="338" spans="2:15" hidden="1" outlineLevel="1">
      <c r="B338" s="76"/>
      <c r="C338" s="7" t="s">
        <v>116</v>
      </c>
      <c r="D338" s="145"/>
      <c r="F338" s="70" t="s">
        <v>634</v>
      </c>
      <c r="G338" s="69"/>
      <c r="H338" s="75" t="s">
        <v>2235</v>
      </c>
      <c r="O338" s="81"/>
    </row>
    <row r="339" spans="2:15" hidden="1" outlineLevel="1">
      <c r="B339" s="76"/>
      <c r="C339" s="7" t="s">
        <v>116</v>
      </c>
      <c r="D339" s="145"/>
      <c r="F339" s="70" t="s">
        <v>638</v>
      </c>
      <c r="G339" s="69"/>
      <c r="H339" s="75" t="s">
        <v>2249</v>
      </c>
      <c r="O339" s="80"/>
    </row>
    <row r="340" spans="2:15" ht="30" hidden="1" outlineLevel="1">
      <c r="B340" s="76"/>
      <c r="C340" s="7" t="s">
        <v>116</v>
      </c>
      <c r="D340" s="145"/>
      <c r="F340" s="70" t="s">
        <v>639</v>
      </c>
      <c r="G340" s="69"/>
      <c r="H340" s="75" t="s">
        <v>2219</v>
      </c>
      <c r="O340" s="80"/>
    </row>
    <row r="341" spans="2:15" hidden="1" outlineLevel="1">
      <c r="B341" s="76"/>
      <c r="C341" s="7" t="s">
        <v>116</v>
      </c>
      <c r="D341" s="145"/>
      <c r="F341" s="70" t="s">
        <v>640</v>
      </c>
      <c r="G341" s="69"/>
      <c r="H341" s="75" t="s">
        <v>2213</v>
      </c>
    </row>
    <row r="342" spans="2:15" hidden="1" outlineLevel="1">
      <c r="B342" s="76"/>
      <c r="C342" s="7" t="s">
        <v>116</v>
      </c>
      <c r="D342" s="145"/>
      <c r="F342" s="70" t="s">
        <v>641</v>
      </c>
      <c r="G342" s="69"/>
      <c r="H342" s="75" t="s">
        <v>2240</v>
      </c>
      <c r="O342" s="80"/>
    </row>
    <row r="343" spans="2:15" hidden="1" outlineLevel="1">
      <c r="B343" s="76"/>
      <c r="C343" s="7" t="s">
        <v>116</v>
      </c>
      <c r="D343" s="145"/>
      <c r="F343" s="70" t="s">
        <v>642</v>
      </c>
      <c r="G343" s="69"/>
      <c r="H343" s="75" t="s">
        <v>2231</v>
      </c>
    </row>
    <row r="344" spans="2:15" hidden="1" outlineLevel="1">
      <c r="B344" s="76"/>
      <c r="C344" s="7" t="s">
        <v>116</v>
      </c>
      <c r="D344" s="145"/>
      <c r="F344" s="70" t="s">
        <v>2125</v>
      </c>
      <c r="G344" s="69"/>
      <c r="H344" s="75" t="s">
        <v>2246</v>
      </c>
      <c r="O344" s="80"/>
    </row>
    <row r="345" spans="2:15" hidden="1" outlineLevel="1">
      <c r="B345" s="76"/>
      <c r="C345" s="7" t="s">
        <v>116</v>
      </c>
      <c r="D345" s="145"/>
      <c r="F345" s="70" t="s">
        <v>643</v>
      </c>
      <c r="G345" s="69"/>
      <c r="H345" s="75" t="s">
        <v>2205</v>
      </c>
      <c r="O345" s="80"/>
    </row>
    <row r="346" spans="2:15" hidden="1" outlineLevel="1">
      <c r="B346" s="76"/>
      <c r="C346" s="7" t="s">
        <v>116</v>
      </c>
      <c r="D346" s="145"/>
      <c r="F346" s="70" t="s">
        <v>644</v>
      </c>
      <c r="G346" s="69"/>
      <c r="H346" s="75" t="s">
        <v>2232</v>
      </c>
      <c r="O346" s="80"/>
    </row>
    <row r="347" spans="2:15" hidden="1" outlineLevel="1">
      <c r="B347" s="76"/>
      <c r="C347" s="7" t="s">
        <v>116</v>
      </c>
      <c r="D347" s="145"/>
      <c r="F347" s="70" t="s">
        <v>645</v>
      </c>
      <c r="G347" s="69"/>
      <c r="H347" s="75" t="s">
        <v>2193</v>
      </c>
      <c r="O347" s="80"/>
    </row>
    <row r="348" spans="2:15" hidden="1" outlineLevel="1">
      <c r="B348" s="76"/>
      <c r="C348" s="7" t="s">
        <v>116</v>
      </c>
      <c r="D348" s="145"/>
      <c r="F348" s="70" t="s">
        <v>646</v>
      </c>
      <c r="G348" s="69"/>
      <c r="H348" s="75" t="s">
        <v>2238</v>
      </c>
      <c r="O348" s="81"/>
    </row>
    <row r="349" spans="2:15" hidden="1" outlineLevel="1">
      <c r="B349" s="76"/>
      <c r="C349" s="7" t="s">
        <v>116</v>
      </c>
      <c r="D349" s="145"/>
      <c r="F349" s="70" t="s">
        <v>647</v>
      </c>
      <c r="G349" s="69"/>
      <c r="H349" s="75" t="s">
        <v>2217</v>
      </c>
      <c r="O349" s="81"/>
    </row>
    <row r="350" spans="2:15" hidden="1" outlineLevel="1">
      <c r="B350" s="76"/>
      <c r="C350" s="7" t="s">
        <v>116</v>
      </c>
      <c r="D350" s="145"/>
      <c r="F350" s="70" t="s">
        <v>648</v>
      </c>
      <c r="G350" s="69"/>
      <c r="H350" s="75" t="s">
        <v>2251</v>
      </c>
      <c r="O350" s="80"/>
    </row>
    <row r="351" spans="2:15" hidden="1" outlineLevel="1">
      <c r="B351" s="76"/>
      <c r="C351" s="7" t="s">
        <v>116</v>
      </c>
      <c r="D351" s="145"/>
      <c r="F351" s="70" t="s">
        <v>654</v>
      </c>
      <c r="G351" s="69"/>
      <c r="H351" s="75" t="s">
        <v>2227</v>
      </c>
      <c r="O351" s="81"/>
    </row>
    <row r="352" spans="2:15" hidden="1" outlineLevel="1">
      <c r="B352" s="76"/>
      <c r="C352" s="7" t="s">
        <v>116</v>
      </c>
      <c r="D352" s="145"/>
      <c r="F352" s="70" t="s">
        <v>655</v>
      </c>
      <c r="G352" s="69"/>
      <c r="H352" s="75" t="s">
        <v>2226</v>
      </c>
    </row>
    <row r="353" spans="2:15" hidden="1" outlineLevel="1">
      <c r="B353" s="76"/>
      <c r="C353" s="7" t="s">
        <v>116</v>
      </c>
      <c r="D353" s="145"/>
      <c r="F353" s="70" t="s">
        <v>656</v>
      </c>
      <c r="G353" s="69"/>
      <c r="H353" s="75" t="s">
        <v>2191</v>
      </c>
      <c r="O353" s="80"/>
    </row>
    <row r="354" spans="2:15" hidden="1" outlineLevel="1">
      <c r="B354" s="76"/>
      <c r="C354" s="7" t="s">
        <v>116</v>
      </c>
      <c r="D354" s="145"/>
      <c r="F354" s="70" t="s">
        <v>2126</v>
      </c>
      <c r="G354" s="69"/>
      <c r="H354" s="75" t="s">
        <v>2239</v>
      </c>
      <c r="O354" s="14"/>
    </row>
    <row r="355" spans="2:15" hidden="1" outlineLevel="1">
      <c r="B355" s="76"/>
      <c r="C355" s="7" t="s">
        <v>116</v>
      </c>
      <c r="D355" s="145"/>
      <c r="F355" s="70" t="s">
        <v>2127</v>
      </c>
      <c r="G355" s="69"/>
      <c r="H355" s="75" t="s">
        <v>2221</v>
      </c>
      <c r="O355" s="80"/>
    </row>
    <row r="356" spans="2:15" hidden="1" outlineLevel="1">
      <c r="B356" s="76"/>
      <c r="C356" s="7" t="s">
        <v>116</v>
      </c>
      <c r="D356" s="145"/>
      <c r="F356" s="70" t="s">
        <v>2128</v>
      </c>
      <c r="G356" s="69"/>
      <c r="H356" s="75" t="s">
        <v>2198</v>
      </c>
      <c r="O356" s="80"/>
    </row>
    <row r="357" spans="2:15" hidden="1" outlineLevel="1">
      <c r="B357" s="76"/>
      <c r="C357" s="7" t="s">
        <v>116</v>
      </c>
      <c r="D357" s="145"/>
      <c r="F357" s="70" t="s">
        <v>2129</v>
      </c>
      <c r="G357" s="69"/>
      <c r="H357" s="75" t="s">
        <v>2210</v>
      </c>
      <c r="O357" s="80"/>
    </row>
    <row r="358" spans="2:15" hidden="1" outlineLevel="1">
      <c r="B358" s="76"/>
      <c r="C358" s="7" t="s">
        <v>116</v>
      </c>
      <c r="D358" s="145"/>
      <c r="F358" s="70" t="s">
        <v>2130</v>
      </c>
      <c r="G358" s="69"/>
      <c r="H358" s="75" t="s">
        <v>2208</v>
      </c>
      <c r="O358" s="80"/>
    </row>
    <row r="359" spans="2:15" hidden="1" outlineLevel="1">
      <c r="B359" s="76"/>
      <c r="C359" s="7" t="s">
        <v>116</v>
      </c>
      <c r="D359" s="145"/>
      <c r="F359" s="70" t="s">
        <v>2131</v>
      </c>
      <c r="G359" s="69"/>
      <c r="H359" s="75" t="s">
        <v>2207</v>
      </c>
      <c r="O359" s="80"/>
    </row>
    <row r="360" spans="2:15" hidden="1" outlineLevel="1">
      <c r="B360" s="76"/>
      <c r="C360" s="7" t="s">
        <v>116</v>
      </c>
      <c r="D360" s="145"/>
      <c r="F360" s="70" t="s">
        <v>2132</v>
      </c>
      <c r="G360" s="69"/>
      <c r="H360" s="75" t="s">
        <v>2233</v>
      </c>
      <c r="O360" s="80"/>
    </row>
    <row r="361" spans="2:15" hidden="1" outlineLevel="1">
      <c r="B361" s="76"/>
      <c r="C361" s="7" t="s">
        <v>116</v>
      </c>
      <c r="D361" s="145"/>
      <c r="F361" s="70" t="s">
        <v>2133</v>
      </c>
      <c r="G361" s="69"/>
      <c r="H361" s="75" t="s">
        <v>2224</v>
      </c>
    </row>
    <row r="362" spans="2:15" hidden="1" outlineLevel="1">
      <c r="B362" s="76"/>
      <c r="C362" s="7" t="s">
        <v>116</v>
      </c>
      <c r="D362" s="145"/>
      <c r="F362" s="70" t="s">
        <v>2134</v>
      </c>
      <c r="G362" s="69"/>
      <c r="H362" s="75" t="s">
        <v>2252</v>
      </c>
      <c r="O362" s="80"/>
    </row>
    <row r="363" spans="2:15" hidden="1" outlineLevel="1">
      <c r="B363" s="76"/>
      <c r="C363" s="7" t="s">
        <v>116</v>
      </c>
      <c r="D363" s="145"/>
      <c r="F363" s="70" t="s">
        <v>2135</v>
      </c>
      <c r="G363" s="69"/>
      <c r="H363" s="75" t="s">
        <v>2204</v>
      </c>
      <c r="O363" s="80"/>
    </row>
    <row r="364" spans="2:15" hidden="1" outlineLevel="1">
      <c r="B364" s="76"/>
      <c r="C364" s="7" t="s">
        <v>116</v>
      </c>
      <c r="D364" s="145"/>
      <c r="F364" s="70" t="s">
        <v>2136</v>
      </c>
      <c r="G364" s="69"/>
      <c r="H364" s="75" t="s">
        <v>2214</v>
      </c>
      <c r="O364" s="80"/>
    </row>
    <row r="365" spans="2:15" hidden="1" outlineLevel="1">
      <c r="B365" s="76"/>
      <c r="C365" s="7" t="s">
        <v>116</v>
      </c>
      <c r="D365" s="145"/>
      <c r="F365" s="70" t="s">
        <v>2137</v>
      </c>
      <c r="G365" s="69"/>
      <c r="H365" s="75" t="s">
        <v>2230</v>
      </c>
      <c r="O365" s="80"/>
    </row>
    <row r="366" spans="2:15" hidden="1" outlineLevel="1">
      <c r="B366" s="76"/>
      <c r="C366" s="7" t="s">
        <v>116</v>
      </c>
      <c r="D366" s="145"/>
      <c r="F366" s="70" t="s">
        <v>2138</v>
      </c>
      <c r="G366" s="69"/>
      <c r="H366" s="75" t="s">
        <v>2257</v>
      </c>
      <c r="O366" s="80"/>
    </row>
    <row r="367" spans="2:15" hidden="1" outlineLevel="1">
      <c r="B367" s="76"/>
      <c r="C367" s="7" t="s">
        <v>116</v>
      </c>
      <c r="D367" s="145"/>
      <c r="F367" s="70" t="s">
        <v>2139</v>
      </c>
      <c r="G367" s="69"/>
      <c r="H367" s="75" t="s">
        <v>2253</v>
      </c>
      <c r="O367" s="81"/>
    </row>
    <row r="368" spans="2:15" hidden="1" outlineLevel="1">
      <c r="B368" s="76"/>
      <c r="C368" s="7" t="s">
        <v>116</v>
      </c>
      <c r="D368" s="145"/>
      <c r="F368" s="70" t="s">
        <v>2140</v>
      </c>
      <c r="G368" s="69"/>
      <c r="H368" s="75" t="s">
        <v>2209</v>
      </c>
    </row>
    <row r="369" spans="2:15" hidden="1" outlineLevel="1">
      <c r="B369" s="76"/>
      <c r="C369" s="7" t="s">
        <v>116</v>
      </c>
      <c r="D369" s="145"/>
      <c r="F369" s="70" t="s">
        <v>2146</v>
      </c>
      <c r="G369" s="69"/>
      <c r="H369" s="75" t="s">
        <v>2229</v>
      </c>
      <c r="O369" s="80"/>
    </row>
    <row r="370" spans="2:15" hidden="1" outlineLevel="1">
      <c r="B370" s="76"/>
      <c r="C370" s="7" t="s">
        <v>116</v>
      </c>
      <c r="D370" s="145"/>
      <c r="F370" s="70" t="s">
        <v>2147</v>
      </c>
      <c r="G370" s="69"/>
      <c r="H370" s="75" t="s">
        <v>2220</v>
      </c>
      <c r="O370" s="80"/>
    </row>
    <row r="371" spans="2:15" hidden="1" outlineLevel="1">
      <c r="B371" s="76"/>
      <c r="C371" s="7" t="s">
        <v>116</v>
      </c>
      <c r="D371" s="145"/>
      <c r="F371" s="70" t="s">
        <v>2145</v>
      </c>
      <c r="G371" s="69"/>
      <c r="H371" s="75" t="s">
        <v>2195</v>
      </c>
      <c r="O371" s="80"/>
    </row>
    <row r="372" spans="2:15" hidden="1" outlineLevel="1">
      <c r="B372" s="76"/>
      <c r="C372" s="7" t="s">
        <v>116</v>
      </c>
      <c r="D372" s="145"/>
      <c r="F372" s="70" t="s">
        <v>2148</v>
      </c>
      <c r="G372" s="69"/>
      <c r="H372" s="75" t="s">
        <v>2243</v>
      </c>
      <c r="O372" s="80"/>
    </row>
    <row r="373" spans="2:15" hidden="1" outlineLevel="1">
      <c r="B373" s="76"/>
      <c r="C373" s="7" t="s">
        <v>116</v>
      </c>
      <c r="D373" s="145"/>
      <c r="F373" s="70" t="s">
        <v>2153</v>
      </c>
      <c r="G373" s="69"/>
      <c r="H373" s="75" t="s">
        <v>2250</v>
      </c>
      <c r="O373" s="80"/>
    </row>
    <row r="374" spans="2:15" hidden="1" outlineLevel="1">
      <c r="B374" s="76"/>
      <c r="C374" s="7" t="s">
        <v>116</v>
      </c>
      <c r="D374" s="145"/>
      <c r="F374" s="70" t="s">
        <v>2154</v>
      </c>
      <c r="G374" s="69"/>
      <c r="H374" s="75" t="s">
        <v>2212</v>
      </c>
      <c r="O374" s="81"/>
    </row>
    <row r="375" spans="2:15" hidden="1" outlineLevel="1">
      <c r="B375" s="76"/>
      <c r="C375" s="7" t="s">
        <v>116</v>
      </c>
      <c r="D375" s="145"/>
      <c r="F375" s="70" t="s">
        <v>2155</v>
      </c>
      <c r="G375" s="69"/>
      <c r="H375" s="75" t="s">
        <v>2196</v>
      </c>
      <c r="O375" s="80"/>
    </row>
    <row r="376" spans="2:15" hidden="1" outlineLevel="1">
      <c r="B376" s="76"/>
      <c r="C376" s="7" t="s">
        <v>116</v>
      </c>
      <c r="D376" s="145"/>
      <c r="F376" s="70" t="s">
        <v>2156</v>
      </c>
      <c r="G376" s="69"/>
      <c r="H376" s="75" t="s">
        <v>2245</v>
      </c>
    </row>
    <row r="377" spans="2:15" hidden="1" outlineLevel="1">
      <c r="B377" s="76"/>
      <c r="C377" s="7" t="s">
        <v>116</v>
      </c>
      <c r="D377" s="145"/>
      <c r="F377" s="70" t="s">
        <v>2157</v>
      </c>
      <c r="G377" s="69"/>
      <c r="H377" s="75" t="s">
        <v>2247</v>
      </c>
    </row>
    <row r="378" spans="2:15" hidden="1" outlineLevel="1">
      <c r="B378" s="76"/>
      <c r="C378" s="7" t="s">
        <v>116</v>
      </c>
      <c r="D378" s="145"/>
      <c r="F378" s="70" t="s">
        <v>2158</v>
      </c>
      <c r="G378" s="69"/>
      <c r="H378" s="75" t="s">
        <v>2194</v>
      </c>
    </row>
    <row r="379" spans="2:15" hidden="1" outlineLevel="1">
      <c r="B379" s="76"/>
      <c r="C379" s="7" t="s">
        <v>116</v>
      </c>
      <c r="D379" s="145"/>
      <c r="F379" s="70" t="s">
        <v>2159</v>
      </c>
      <c r="G379" s="69"/>
      <c r="H379" s="75" t="s">
        <v>2254</v>
      </c>
      <c r="O379" s="14"/>
    </row>
    <row r="380" spans="2:15" hidden="1" outlineLevel="1">
      <c r="B380" s="76"/>
      <c r="C380" s="7" t="s">
        <v>116</v>
      </c>
      <c r="D380" s="145"/>
      <c r="F380" s="70" t="s">
        <v>2161</v>
      </c>
      <c r="G380" s="69"/>
      <c r="H380" s="75" t="s">
        <v>2234</v>
      </c>
    </row>
    <row r="381" spans="2:15" hidden="1" outlineLevel="1">
      <c r="B381" s="76"/>
      <c r="C381" s="7" t="s">
        <v>116</v>
      </c>
      <c r="D381" s="145"/>
      <c r="F381" s="70" t="s">
        <v>2164</v>
      </c>
      <c r="G381" s="69"/>
      <c r="H381" s="75" t="s">
        <v>2211</v>
      </c>
    </row>
    <row r="382" spans="2:15" hidden="1" outlineLevel="1">
      <c r="B382" s="76"/>
      <c r="C382" s="7" t="s">
        <v>116</v>
      </c>
      <c r="D382" s="145"/>
      <c r="F382" s="70" t="s">
        <v>2165</v>
      </c>
      <c r="G382" s="69"/>
      <c r="H382" s="75" t="s">
        <v>2199</v>
      </c>
    </row>
    <row r="383" spans="2:15" hidden="1" outlineLevel="1">
      <c r="B383" s="76"/>
      <c r="C383" s="7" t="s">
        <v>116</v>
      </c>
      <c r="D383" s="145"/>
      <c r="F383" s="146" t="s">
        <v>2166</v>
      </c>
      <c r="G383" s="69"/>
      <c r="H383" s="75" t="s">
        <v>2225</v>
      </c>
    </row>
    <row r="384" spans="2:15" hidden="1" outlineLevel="1">
      <c r="B384" s="76"/>
      <c r="C384" s="7" t="s">
        <v>116</v>
      </c>
      <c r="D384" s="145"/>
      <c r="F384" s="146" t="s">
        <v>2167</v>
      </c>
      <c r="G384" s="69"/>
      <c r="H384" s="75" t="s">
        <v>2202</v>
      </c>
      <c r="O384" s="81"/>
    </row>
    <row r="385" spans="2:15" hidden="1" outlineLevel="1">
      <c r="B385" s="76"/>
      <c r="C385" s="7" t="s">
        <v>116</v>
      </c>
      <c r="D385" s="145"/>
      <c r="F385" s="146" t="s">
        <v>2168</v>
      </c>
      <c r="G385" s="69"/>
      <c r="H385" s="75" t="s">
        <v>2237</v>
      </c>
      <c r="O385" s="80"/>
    </row>
    <row r="386" spans="2:15" hidden="1" outlineLevel="1">
      <c r="B386" s="76"/>
      <c r="C386" s="7" t="s">
        <v>116</v>
      </c>
      <c r="D386" s="145"/>
      <c r="F386" s="146" t="s">
        <v>2169</v>
      </c>
      <c r="G386" s="69"/>
      <c r="H386" s="75" t="s">
        <v>2190</v>
      </c>
      <c r="O386" s="80"/>
    </row>
    <row r="387" spans="2:15" hidden="1" outlineLevel="1">
      <c r="B387" s="76"/>
      <c r="C387" s="7" t="s">
        <v>116</v>
      </c>
      <c r="D387" s="145"/>
      <c r="F387" s="146" t="s">
        <v>2170</v>
      </c>
      <c r="G387" s="69"/>
      <c r="H387" s="75" t="s">
        <v>2201</v>
      </c>
      <c r="O387" s="81"/>
    </row>
    <row r="388" spans="2:15" hidden="1" outlineLevel="1">
      <c r="B388" s="76"/>
      <c r="C388" s="7" t="s">
        <v>116</v>
      </c>
      <c r="D388" s="145"/>
      <c r="F388" s="146" t="s">
        <v>2171</v>
      </c>
      <c r="G388" s="69"/>
      <c r="H388" s="75" t="s">
        <v>2200</v>
      </c>
      <c r="O388" s="81"/>
    </row>
    <row r="389" spans="2:15" hidden="1" outlineLevel="1">
      <c r="B389" s="76"/>
      <c r="C389" s="7" t="s">
        <v>116</v>
      </c>
      <c r="D389" s="145"/>
      <c r="F389" s="146" t="s">
        <v>2177</v>
      </c>
      <c r="G389" s="69"/>
      <c r="H389" s="75" t="s">
        <v>2203</v>
      </c>
      <c r="O389" s="80"/>
    </row>
    <row r="390" spans="2:15" hidden="1" outlineLevel="1">
      <c r="B390" s="76"/>
      <c r="C390" s="7" t="s">
        <v>116</v>
      </c>
      <c r="D390" s="145"/>
      <c r="F390" s="146" t="s">
        <v>2186</v>
      </c>
      <c r="G390" s="69"/>
      <c r="H390" s="75" t="s">
        <v>2255</v>
      </c>
      <c r="O390" s="80"/>
    </row>
    <row r="391" spans="2:15" hidden="1" outlineLevel="1">
      <c r="B391" s="76"/>
      <c r="C391" s="7" t="s">
        <v>116</v>
      </c>
      <c r="D391" s="145"/>
      <c r="F391" s="146" t="s">
        <v>2187</v>
      </c>
      <c r="G391" s="69"/>
      <c r="H391" s="75" t="s">
        <v>2244</v>
      </c>
    </row>
    <row r="392" spans="2:15" hidden="1" outlineLevel="1">
      <c r="B392" s="76"/>
      <c r="C392" s="7" t="s">
        <v>116</v>
      </c>
      <c r="D392" s="145"/>
      <c r="F392" s="146" t="s">
        <v>2188</v>
      </c>
      <c r="G392" s="69"/>
      <c r="H392" s="75" t="s">
        <v>2216</v>
      </c>
      <c r="O392" s="81"/>
    </row>
    <row r="393" spans="2:15" hidden="1" outlineLevel="1">
      <c r="B393" s="76"/>
      <c r="C393" s="7" t="s">
        <v>116</v>
      </c>
      <c r="D393" s="145"/>
      <c r="F393" s="146" t="s">
        <v>2259</v>
      </c>
      <c r="G393" s="69"/>
      <c r="H393" s="75" t="s">
        <v>2215</v>
      </c>
    </row>
    <row r="394" spans="2:15" hidden="1" outlineLevel="1">
      <c r="B394" s="76"/>
      <c r="C394" s="7" t="s">
        <v>116</v>
      </c>
      <c r="D394" s="145"/>
      <c r="F394" s="146" t="s">
        <v>2260</v>
      </c>
      <c r="G394" s="69"/>
      <c r="H394" s="75" t="s">
        <v>2222</v>
      </c>
      <c r="O394" s="80"/>
    </row>
    <row r="395" spans="2:15" hidden="1" outlineLevel="1">
      <c r="B395" s="76"/>
      <c r="C395" s="7" t="s">
        <v>116</v>
      </c>
      <c r="D395" s="145"/>
      <c r="F395" s="146" t="s">
        <v>2261</v>
      </c>
      <c r="G395" s="69"/>
      <c r="H395" s="75" t="s">
        <v>2236</v>
      </c>
    </row>
    <row r="396" spans="2:15" hidden="1" outlineLevel="1">
      <c r="B396" s="76"/>
      <c r="C396" s="7" t="s">
        <v>116</v>
      </c>
      <c r="D396" s="145"/>
      <c r="F396" s="23"/>
      <c r="G396" s="69"/>
      <c r="O396" s="81"/>
    </row>
    <row r="397" spans="2:15" collapsed="1">
      <c r="B397" s="76"/>
      <c r="C397" s="7" t="s">
        <v>116</v>
      </c>
      <c r="D397" s="51" t="s">
        <v>1583</v>
      </c>
      <c r="E397" s="35"/>
      <c r="F397" s="52" t="s">
        <v>657</v>
      </c>
      <c r="G397" s="53"/>
      <c r="H397" s="54"/>
      <c r="O397" s="80"/>
    </row>
    <row r="398" spans="2:15" hidden="1" outlineLevel="1">
      <c r="B398" s="76"/>
      <c r="C398" s="7" t="s">
        <v>116</v>
      </c>
      <c r="D398" s="23" t="s">
        <v>117</v>
      </c>
      <c r="F398" s="23"/>
      <c r="G398" s="69"/>
      <c r="O398" s="14"/>
    </row>
    <row r="399" spans="2:15" hidden="1" outlineLevel="1">
      <c r="B399" s="76"/>
      <c r="C399" s="7" t="s">
        <v>116</v>
      </c>
      <c r="D399" s="145"/>
      <c r="E399" s="11">
        <v>1.1000000000000001</v>
      </c>
      <c r="F399" s="12" t="s">
        <v>677</v>
      </c>
      <c r="G399" s="69"/>
      <c r="K399" s="17"/>
      <c r="L399" s="89"/>
      <c r="M399" s="17"/>
      <c r="N399" s="17"/>
      <c r="O399" s="81"/>
    </row>
    <row r="400" spans="2:15" hidden="1" outlineLevel="1">
      <c r="B400" s="76"/>
      <c r="C400" s="7" t="s">
        <v>116</v>
      </c>
      <c r="D400" s="145"/>
      <c r="F400" s="70" t="s">
        <v>119</v>
      </c>
      <c r="G400" s="69" t="s">
        <v>2301</v>
      </c>
      <c r="K400" s="71"/>
      <c r="L400" s="87"/>
      <c r="M400" s="28"/>
      <c r="N400" s="28"/>
    </row>
    <row r="401" spans="2:15" hidden="1" outlineLevel="1">
      <c r="B401" s="76"/>
      <c r="C401" s="7" t="s">
        <v>116</v>
      </c>
      <c r="D401" s="23"/>
      <c r="E401" s="13">
        <v>1.2</v>
      </c>
      <c r="F401" s="71" t="s">
        <v>657</v>
      </c>
      <c r="G401" s="12"/>
      <c r="O401" s="80"/>
    </row>
    <row r="402" spans="2:15" hidden="1" outlineLevel="1">
      <c r="B402" s="76"/>
      <c r="C402" s="7" t="s">
        <v>116</v>
      </c>
      <c r="D402" s="23"/>
      <c r="E402" s="13"/>
      <c r="F402" s="70" t="s">
        <v>119</v>
      </c>
      <c r="G402" s="12" t="s">
        <v>2262</v>
      </c>
      <c r="O402" s="14"/>
    </row>
    <row r="403" spans="2:15" ht="30" hidden="1" outlineLevel="1">
      <c r="B403" s="76"/>
      <c r="C403" s="7" t="s">
        <v>116</v>
      </c>
      <c r="D403" s="23"/>
      <c r="E403" s="13"/>
      <c r="F403" s="70"/>
      <c r="G403" s="12"/>
      <c r="H403" s="75" t="s">
        <v>2263</v>
      </c>
    </row>
    <row r="404" spans="2:15" hidden="1" outlineLevel="1">
      <c r="B404" s="76"/>
      <c r="C404" s="7" t="s">
        <v>116</v>
      </c>
      <c r="D404" s="23"/>
      <c r="E404" s="13"/>
      <c r="F404" s="70" t="s">
        <v>125</v>
      </c>
      <c r="G404" s="12" t="s">
        <v>669</v>
      </c>
    </row>
    <row r="405" spans="2:15" ht="45" hidden="1" outlineLevel="1">
      <c r="B405" s="76"/>
      <c r="C405" s="7" t="s">
        <v>116</v>
      </c>
      <c r="D405" s="23"/>
      <c r="E405" s="13"/>
      <c r="F405" s="70"/>
      <c r="G405" s="12"/>
      <c r="H405" s="75" t="s">
        <v>674</v>
      </c>
    </row>
    <row r="406" spans="2:15" hidden="1" outlineLevel="1">
      <c r="B406" s="76"/>
      <c r="C406" s="7" t="s">
        <v>116</v>
      </c>
      <c r="D406" s="23"/>
      <c r="E406" s="13"/>
      <c r="F406" s="70" t="s">
        <v>158</v>
      </c>
      <c r="G406" s="12" t="s">
        <v>2264</v>
      </c>
      <c r="O406" s="80"/>
    </row>
    <row r="407" spans="2:15" ht="30" hidden="1" outlineLevel="1">
      <c r="B407" s="76"/>
      <c r="C407" s="7" t="s">
        <v>116</v>
      </c>
      <c r="D407" s="23"/>
      <c r="E407" s="13"/>
      <c r="F407" s="70"/>
      <c r="G407" s="12"/>
      <c r="H407" s="75" t="s">
        <v>2266</v>
      </c>
    </row>
    <row r="408" spans="2:15" hidden="1" outlineLevel="1">
      <c r="B408" s="76"/>
      <c r="C408" s="7" t="s">
        <v>116</v>
      </c>
      <c r="D408" s="23"/>
      <c r="E408" s="13"/>
      <c r="F408" s="70" t="s">
        <v>159</v>
      </c>
      <c r="G408" s="12" t="s">
        <v>672</v>
      </c>
      <c r="O408" s="80"/>
    </row>
    <row r="409" spans="2:15" ht="30" hidden="1" outlineLevel="1">
      <c r="B409" s="76"/>
      <c r="C409" s="7" t="s">
        <v>116</v>
      </c>
      <c r="D409" s="23"/>
      <c r="E409" s="13"/>
      <c r="F409" s="70"/>
      <c r="G409" s="12"/>
      <c r="H409" s="75" t="s">
        <v>673</v>
      </c>
      <c r="O409" s="80"/>
    </row>
    <row r="410" spans="2:15" hidden="1" outlineLevel="1">
      <c r="B410" s="76"/>
      <c r="C410" s="7" t="s">
        <v>116</v>
      </c>
      <c r="D410" s="23"/>
      <c r="E410" s="13"/>
      <c r="F410" s="70" t="s">
        <v>621</v>
      </c>
      <c r="G410" s="12" t="s">
        <v>2265</v>
      </c>
    </row>
    <row r="411" spans="2:15" ht="30" hidden="1" outlineLevel="1">
      <c r="B411" s="76"/>
      <c r="C411" s="7" t="s">
        <v>116</v>
      </c>
      <c r="D411" s="23"/>
      <c r="E411" s="13"/>
      <c r="F411" s="70"/>
      <c r="G411" s="12"/>
      <c r="H411" s="75" t="s">
        <v>2267</v>
      </c>
    </row>
    <row r="412" spans="2:15" hidden="1" outlineLevel="1">
      <c r="B412" s="76"/>
      <c r="C412" s="7" t="s">
        <v>116</v>
      </c>
      <c r="D412" s="23"/>
      <c r="E412" s="13"/>
      <c r="F412" s="70" t="s">
        <v>622</v>
      </c>
      <c r="G412" s="12" t="s">
        <v>2655</v>
      </c>
    </row>
    <row r="413" spans="2:15" ht="30" hidden="1" outlineLevel="1">
      <c r="B413" s="76"/>
      <c r="C413" s="7" t="s">
        <v>116</v>
      </c>
      <c r="D413" s="23"/>
      <c r="E413" s="13"/>
      <c r="F413" s="70"/>
      <c r="G413" s="12"/>
      <c r="H413" s="75" t="s">
        <v>2657</v>
      </c>
    </row>
    <row r="414" spans="2:15" hidden="1" outlineLevel="1">
      <c r="B414" s="76"/>
      <c r="C414" s="7" t="s">
        <v>116</v>
      </c>
      <c r="D414" s="23"/>
      <c r="E414" s="13"/>
      <c r="F414" s="70" t="s">
        <v>623</v>
      </c>
      <c r="G414" s="12" t="s">
        <v>2656</v>
      </c>
    </row>
    <row r="415" spans="2:15" ht="30" hidden="1" outlineLevel="1">
      <c r="B415" s="76"/>
      <c r="C415" s="7" t="s">
        <v>116</v>
      </c>
      <c r="D415" s="23"/>
      <c r="E415" s="13"/>
      <c r="F415" s="70"/>
      <c r="G415" s="12"/>
      <c r="H415" s="75" t="s">
        <v>2658</v>
      </c>
    </row>
    <row r="416" spans="2:15" hidden="1" outlineLevel="1">
      <c r="B416" s="76"/>
      <c r="C416" s="7" t="s">
        <v>116</v>
      </c>
      <c r="D416" s="23"/>
      <c r="E416" s="13"/>
      <c r="F416" s="70" t="s">
        <v>624</v>
      </c>
      <c r="G416" s="12" t="s">
        <v>2268</v>
      </c>
    </row>
    <row r="417" spans="2:15" ht="30" hidden="1" outlineLevel="1">
      <c r="B417" s="76"/>
      <c r="C417" s="7" t="s">
        <v>116</v>
      </c>
      <c r="D417" s="23"/>
      <c r="E417" s="13"/>
      <c r="F417" s="70"/>
      <c r="G417" s="12"/>
      <c r="H417" s="75" t="s">
        <v>2269</v>
      </c>
    </row>
    <row r="418" spans="2:15" hidden="1" outlineLevel="1">
      <c r="B418" s="76"/>
      <c r="C418" s="7" t="s">
        <v>116</v>
      </c>
      <c r="D418" s="23"/>
      <c r="E418" s="13"/>
      <c r="F418" s="70" t="s">
        <v>625</v>
      </c>
      <c r="G418" s="12" t="s">
        <v>671</v>
      </c>
    </row>
    <row r="419" spans="2:15" ht="30" hidden="1" outlineLevel="1">
      <c r="B419" s="76"/>
      <c r="C419" s="7" t="s">
        <v>116</v>
      </c>
      <c r="D419" s="23"/>
      <c r="E419" s="13"/>
      <c r="F419" s="70"/>
      <c r="G419" s="12"/>
      <c r="H419" s="75" t="s">
        <v>675</v>
      </c>
    </row>
    <row r="420" spans="2:15" hidden="1" outlineLevel="1">
      <c r="B420" s="76"/>
      <c r="C420" s="7" t="s">
        <v>116</v>
      </c>
      <c r="D420" s="23"/>
      <c r="E420" s="13"/>
      <c r="F420" s="70" t="s">
        <v>626</v>
      </c>
      <c r="G420" s="12" t="s">
        <v>699</v>
      </c>
    </row>
    <row r="421" spans="2:15" ht="60" hidden="1" outlineLevel="1">
      <c r="B421" s="76"/>
      <c r="C421" s="7" t="s">
        <v>116</v>
      </c>
      <c r="D421" s="23"/>
      <c r="E421" s="13"/>
      <c r="F421" s="70"/>
      <c r="G421" s="12"/>
      <c r="H421" s="75" t="s">
        <v>700</v>
      </c>
    </row>
    <row r="422" spans="2:15" hidden="1" outlineLevel="1">
      <c r="B422" s="76"/>
      <c r="C422" s="7" t="s">
        <v>116</v>
      </c>
      <c r="D422" s="23"/>
      <c r="E422" s="13"/>
      <c r="F422" s="70" t="s">
        <v>627</v>
      </c>
      <c r="G422" s="12" t="s">
        <v>667</v>
      </c>
    </row>
    <row r="423" spans="2:15" ht="30" hidden="1" outlineLevel="1">
      <c r="B423" s="76"/>
      <c r="C423" s="7" t="s">
        <v>116</v>
      </c>
      <c r="D423" s="23"/>
      <c r="E423" s="13"/>
      <c r="F423" s="70"/>
      <c r="G423" s="12"/>
      <c r="H423" s="75" t="s">
        <v>668</v>
      </c>
    </row>
    <row r="424" spans="2:15" hidden="1" outlineLevel="1">
      <c r="B424" s="76"/>
      <c r="C424" s="7" t="s">
        <v>116</v>
      </c>
      <c r="D424" s="23"/>
      <c r="E424" s="13"/>
      <c r="F424" s="70" t="s">
        <v>634</v>
      </c>
      <c r="G424" s="12" t="s">
        <v>665</v>
      </c>
    </row>
    <row r="425" spans="2:15" hidden="1" outlineLevel="1">
      <c r="B425" s="76"/>
      <c r="C425" s="7" t="s">
        <v>116</v>
      </c>
      <c r="D425" s="23"/>
      <c r="E425" s="13"/>
      <c r="F425" s="70"/>
      <c r="G425" s="12"/>
      <c r="H425" s="111" t="s">
        <v>666</v>
      </c>
    </row>
    <row r="426" spans="2:15" hidden="1" outlineLevel="1">
      <c r="B426" s="76"/>
      <c r="C426" s="7" t="s">
        <v>116</v>
      </c>
      <c r="D426" s="23"/>
      <c r="E426" s="13"/>
      <c r="F426" s="70" t="s">
        <v>638</v>
      </c>
      <c r="G426" s="12" t="s">
        <v>658</v>
      </c>
    </row>
    <row r="427" spans="2:15" ht="60" hidden="1" outlineLevel="1">
      <c r="B427" s="76"/>
      <c r="C427" s="7" t="s">
        <v>116</v>
      </c>
      <c r="D427" s="23"/>
      <c r="E427" s="13"/>
      <c r="F427" s="70"/>
      <c r="G427" s="12"/>
      <c r="H427" s="111" t="s">
        <v>659</v>
      </c>
      <c r="O427" s="80"/>
    </row>
    <row r="428" spans="2:15" hidden="1" outlineLevel="1">
      <c r="B428" s="76"/>
      <c r="C428" s="7" t="s">
        <v>116</v>
      </c>
      <c r="D428" s="23"/>
      <c r="E428" s="13"/>
      <c r="F428" s="70" t="s">
        <v>639</v>
      </c>
      <c r="G428" s="12" t="s">
        <v>664</v>
      </c>
      <c r="O428" s="14"/>
    </row>
    <row r="429" spans="2:15" ht="45" hidden="1" outlineLevel="1">
      <c r="B429" s="76"/>
      <c r="C429" s="7" t="s">
        <v>116</v>
      </c>
      <c r="D429" s="23"/>
      <c r="E429" s="13"/>
      <c r="F429" s="70"/>
      <c r="G429" s="12"/>
      <c r="H429" s="75" t="s">
        <v>3103</v>
      </c>
    </row>
    <row r="430" spans="2:15" hidden="1" outlineLevel="1">
      <c r="B430" s="76"/>
      <c r="C430" s="7" t="s">
        <v>116</v>
      </c>
      <c r="D430" s="23"/>
      <c r="E430" s="13"/>
      <c r="F430" s="70" t="s">
        <v>640</v>
      </c>
      <c r="G430" s="12" t="s">
        <v>663</v>
      </c>
    </row>
    <row r="431" spans="2:15" ht="30" hidden="1" outlineLevel="1">
      <c r="B431" s="76"/>
      <c r="C431" s="7" t="s">
        <v>116</v>
      </c>
      <c r="D431" s="23"/>
      <c r="E431" s="13"/>
      <c r="F431" s="70"/>
      <c r="G431" s="12"/>
      <c r="H431" s="111" t="s">
        <v>662</v>
      </c>
    </row>
    <row r="432" spans="2:15" hidden="1" outlineLevel="1">
      <c r="B432" s="76"/>
      <c r="C432" s="7" t="s">
        <v>116</v>
      </c>
      <c r="D432" s="23"/>
      <c r="E432" s="13"/>
      <c r="F432" s="70" t="s">
        <v>641</v>
      </c>
      <c r="G432" s="12" t="s">
        <v>661</v>
      </c>
    </row>
    <row r="433" spans="2:15" ht="60" hidden="1" outlineLevel="1">
      <c r="B433" s="76"/>
      <c r="C433" s="7" t="s">
        <v>116</v>
      </c>
      <c r="D433" s="23"/>
      <c r="E433" s="13"/>
      <c r="F433" s="70"/>
      <c r="G433" s="12"/>
      <c r="H433" s="75" t="s">
        <v>660</v>
      </c>
    </row>
    <row r="434" spans="2:15" hidden="1" outlineLevel="1">
      <c r="B434" s="76"/>
      <c r="C434" s="7" t="s">
        <v>116</v>
      </c>
      <c r="D434" s="23"/>
      <c r="E434" s="13"/>
      <c r="F434" s="70" t="s">
        <v>642</v>
      </c>
      <c r="G434" s="12" t="s">
        <v>670</v>
      </c>
    </row>
    <row r="435" spans="2:15" ht="30" hidden="1" outlineLevel="1">
      <c r="B435" s="76"/>
      <c r="C435" s="7" t="s">
        <v>116</v>
      </c>
      <c r="D435" s="23"/>
      <c r="E435" s="13"/>
      <c r="F435" s="70"/>
      <c r="G435" s="12"/>
      <c r="H435" s="75" t="s">
        <v>676</v>
      </c>
    </row>
    <row r="436" spans="2:15" hidden="1" outlineLevel="1">
      <c r="B436" s="76"/>
      <c r="C436" s="7" t="s">
        <v>116</v>
      </c>
      <c r="D436" s="23"/>
      <c r="E436" s="13"/>
      <c r="F436" s="70"/>
      <c r="G436" s="12"/>
      <c r="O436" s="14"/>
    </row>
    <row r="437" spans="2:15" collapsed="1">
      <c r="B437" s="76" t="s">
        <v>2300</v>
      </c>
      <c r="C437" s="7" t="str">
        <f>IF(C443="Show","Show","Hide")</f>
        <v>Show</v>
      </c>
      <c r="D437" s="51" t="s">
        <v>1587</v>
      </c>
      <c r="E437" s="35"/>
      <c r="F437" s="52" t="s">
        <v>1585</v>
      </c>
      <c r="G437" s="53"/>
      <c r="H437" s="54"/>
    </row>
    <row r="438" spans="2:15" hidden="1" outlineLevel="1">
      <c r="B438" s="76" t="s">
        <v>2300</v>
      </c>
      <c r="C438" s="7" t="str">
        <f>IF(C443="Show","Show","Hide")</f>
        <v>Show</v>
      </c>
      <c r="D438" s="23" t="s">
        <v>117</v>
      </c>
      <c r="F438" s="23"/>
      <c r="G438" s="69"/>
      <c r="O438" s="14"/>
    </row>
    <row r="439" spans="2:15" hidden="1" outlineLevel="1">
      <c r="B439" s="76" t="s">
        <v>2300</v>
      </c>
      <c r="C439" s="7" t="str">
        <f>IF(C443="Show","Show","Hide")</f>
        <v>Show</v>
      </c>
      <c r="D439" s="145"/>
      <c r="E439" s="11">
        <v>1.1000000000000001</v>
      </c>
      <c r="F439" s="12" t="s">
        <v>118</v>
      </c>
      <c r="G439" s="69"/>
      <c r="K439" s="17"/>
      <c r="L439" s="89"/>
      <c r="M439" s="17"/>
      <c r="N439" s="17"/>
      <c r="O439" s="81"/>
    </row>
    <row r="440" spans="2:15" hidden="1" outlineLevel="1">
      <c r="B440" s="76" t="s">
        <v>2300</v>
      </c>
      <c r="C440" s="7" t="str">
        <f>IF(C443="Show","Show","Hide")</f>
        <v>Show</v>
      </c>
      <c r="D440" s="145"/>
      <c r="F440" s="70" t="s">
        <v>119</v>
      </c>
      <c r="G440" s="69" t="s">
        <v>3402</v>
      </c>
      <c r="K440" s="71"/>
      <c r="L440" s="87"/>
      <c r="M440" s="28"/>
      <c r="N440" s="28"/>
    </row>
    <row r="441" spans="2:15" hidden="1" outlineLevel="1">
      <c r="B441" s="76" t="s">
        <v>2300</v>
      </c>
      <c r="C441" s="7" t="str">
        <f>IF(C443="Show","Show","Hide")</f>
        <v>Show</v>
      </c>
      <c r="D441" s="145"/>
      <c r="F441" s="70" t="s">
        <v>125</v>
      </c>
      <c r="G441" s="69" t="s">
        <v>677</v>
      </c>
    </row>
    <row r="442" spans="2:15" hidden="1" outlineLevel="1">
      <c r="B442" s="76" t="s">
        <v>2300</v>
      </c>
      <c r="C442" s="7" t="str">
        <f>IF(C443="Show","Show","Hide")</f>
        <v>Show</v>
      </c>
      <c r="D442" s="145"/>
      <c r="G442" s="78" t="s">
        <v>121</v>
      </c>
      <c r="H442" s="75" t="s">
        <v>2301</v>
      </c>
    </row>
    <row r="443" spans="2:15" hidden="1" outlineLevel="1">
      <c r="B443" s="76" t="s">
        <v>2300</v>
      </c>
      <c r="C443" s="7" t="str">
        <f>IF(OR(C444="Show",C447="Show",C450="Show",C454="Show",C463="Show"),"Show","Hide")</f>
        <v>Show</v>
      </c>
      <c r="D443" s="145"/>
      <c r="E443" s="11">
        <v>1.2</v>
      </c>
      <c r="F443" s="12" t="s">
        <v>2271</v>
      </c>
      <c r="G443" s="69"/>
    </row>
    <row r="444" spans="2:15" hidden="1" outlineLevel="1">
      <c r="B444" s="12" t="s">
        <v>2274</v>
      </c>
      <c r="C444" s="26" t="str">
        <f>IF(OR('1. Criteria &amp; Spec Matrix'!E46='3. Dropdowns'!C84,'1. Criteria &amp; Spec Matrix'!E46=""),"Show","Hide")</f>
        <v>Show</v>
      </c>
      <c r="D444" s="145"/>
      <c r="F444" s="70" t="s">
        <v>119</v>
      </c>
      <c r="G444" s="69" t="s">
        <v>2272</v>
      </c>
    </row>
    <row r="445" spans="2:15" hidden="1" outlineLevel="1">
      <c r="B445" s="12" t="s">
        <v>2274</v>
      </c>
      <c r="C445" s="26" t="str">
        <f>IF(OR('1. Criteria &amp; Spec Matrix'!E46='3. Dropdowns'!C84,'1. Criteria &amp; Spec Matrix'!E46=""),"Show","Hide")</f>
        <v>Show</v>
      </c>
      <c r="D445" s="145"/>
      <c r="F445" s="147"/>
      <c r="G445" s="78" t="s">
        <v>121</v>
      </c>
      <c r="H445" s="75" t="s">
        <v>2273</v>
      </c>
    </row>
    <row r="446" spans="2:15" hidden="1" outlineLevel="1">
      <c r="B446" s="12" t="s">
        <v>2274</v>
      </c>
      <c r="C446" s="26" t="str">
        <f>IF(OR('1. Criteria &amp; Spec Matrix'!E46='3. Dropdowns'!C84,'1. Criteria &amp; Spec Matrix'!E46=""),"Show","Hide")</f>
        <v>Show</v>
      </c>
      <c r="D446" s="145"/>
      <c r="F446" s="147"/>
      <c r="G446" s="148"/>
      <c r="H446" s="75" t="s">
        <v>2276</v>
      </c>
    </row>
    <row r="447" spans="2:15" hidden="1" outlineLevel="1">
      <c r="B447" s="76" t="s">
        <v>2279</v>
      </c>
      <c r="C447" s="7" t="str">
        <f>IF(OR('1. Criteria &amp; Spec Matrix'!E47='3. Dropdowns'!C89,'1. Criteria &amp; Spec Matrix'!E47=""),"Show","Hide")</f>
        <v>Show</v>
      </c>
      <c r="D447" s="145"/>
      <c r="F447" s="70" t="str">
        <f>IF(C444="HIDE","A.","B.")</f>
        <v>B.</v>
      </c>
      <c r="G447" s="69" t="s">
        <v>2275</v>
      </c>
    </row>
    <row r="448" spans="2:15" ht="30" hidden="1" outlineLevel="1">
      <c r="B448" s="76" t="s">
        <v>2279</v>
      </c>
      <c r="C448" s="7" t="str">
        <f>IF(OR('1. Criteria &amp; Spec Matrix'!E47='3. Dropdowns'!C89,'1. Criteria &amp; Spec Matrix'!E47=""),"Show","Hide")</f>
        <v>Show</v>
      </c>
      <c r="D448" s="145"/>
      <c r="F448" s="70"/>
      <c r="G448" s="78" t="s">
        <v>121</v>
      </c>
      <c r="H448" s="75" t="s">
        <v>2277</v>
      </c>
    </row>
    <row r="449" spans="2:8" ht="30" hidden="1" outlineLevel="1">
      <c r="B449" s="76" t="s">
        <v>2279</v>
      </c>
      <c r="C449" s="7" t="str">
        <f>IF(OR('1. Criteria &amp; Spec Matrix'!E47='3. Dropdowns'!C89,'1. Criteria &amp; Spec Matrix'!E47=""),"Show","Hide")</f>
        <v>Show</v>
      </c>
      <c r="D449" s="145"/>
      <c r="F449" s="70"/>
      <c r="G449" s="69"/>
      <c r="H449" s="75" t="s">
        <v>2278</v>
      </c>
    </row>
    <row r="450" spans="2:8" hidden="1" outlineLevel="1">
      <c r="B450" s="76" t="s">
        <v>2281</v>
      </c>
      <c r="C450" s="7" t="str">
        <f>IF(OR('1. Criteria &amp; Spec Matrix'!D5='3. Dropdowns'!C7,'1. Criteria &amp; Spec Matrix'!D5=""),"Show","Hide")</f>
        <v>Show</v>
      </c>
      <c r="D450" s="145"/>
      <c r="F450" s="70" t="s">
        <v>158</v>
      </c>
      <c r="G450" s="69" t="s">
        <v>2280</v>
      </c>
    </row>
    <row r="451" spans="2:8" ht="30" hidden="1" outlineLevel="1">
      <c r="B451" s="76" t="s">
        <v>2281</v>
      </c>
      <c r="C451" s="7" t="str">
        <f>IF(OR('1. Criteria &amp; Spec Matrix'!D5='3. Dropdowns'!C7,'1. Criteria &amp; Spec Matrix'!D5=""),"Show","Hide")</f>
        <v>Show</v>
      </c>
      <c r="D451" s="145"/>
      <c r="F451" s="70"/>
      <c r="G451" s="78" t="s">
        <v>121</v>
      </c>
      <c r="H451" s="75" t="s">
        <v>2282</v>
      </c>
    </row>
    <row r="452" spans="2:8" ht="18" hidden="1" customHeight="1" outlineLevel="1">
      <c r="B452" s="76" t="s">
        <v>2281</v>
      </c>
      <c r="C452" s="7" t="str">
        <f>IF(OR('1. Criteria &amp; Spec Matrix'!D5='3. Dropdowns'!C7,'1. Criteria &amp; Spec Matrix'!D5=""),"Show","Hide")</f>
        <v>Show</v>
      </c>
      <c r="D452" s="145"/>
      <c r="F452" s="70"/>
      <c r="G452" s="69"/>
      <c r="H452" s="75" t="s">
        <v>2283</v>
      </c>
    </row>
    <row r="453" spans="2:8" hidden="1" outlineLevel="1">
      <c r="B453" s="76" t="s">
        <v>2629</v>
      </c>
      <c r="C453" s="7" t="str">
        <f>IF('1. Criteria &amp; Spec Matrix'!D5='3. Dropdowns'!C7,"Hide","Show")</f>
        <v>Show</v>
      </c>
      <c r="D453" s="145"/>
      <c r="F453" s="70"/>
      <c r="G453" s="70" t="str">
        <f>(1+COUNTIF(C451,"Show")) &amp; "."</f>
        <v>2.</v>
      </c>
      <c r="H453" s="75" t="s">
        <v>2630</v>
      </c>
    </row>
    <row r="454" spans="2:8" hidden="1" outlineLevel="1">
      <c r="B454" s="76" t="s">
        <v>2286</v>
      </c>
      <c r="C454" s="7" t="str">
        <f>IF(OR('1. Criteria &amp; Spec Matrix'!E190='3. Dropdowns'!C193,'1. Criteria &amp; Spec Matrix'!E190='3. Dropdowns'!C194,'1. Criteria &amp; Spec Matrix'!E190='3. Dropdowns'!C195,'1. Criteria &amp; Spec Matrix'!E190='3. Dropdowns'!C196,'1. Criteria &amp; Spec Matrix'!E190=""),"Show","Hide")</f>
        <v>Show</v>
      </c>
      <c r="D454" s="145"/>
      <c r="F454" s="70" t="s">
        <v>159</v>
      </c>
      <c r="G454" s="69" t="s">
        <v>2284</v>
      </c>
    </row>
    <row r="455" spans="2:8" ht="30" hidden="1" outlineLevel="1">
      <c r="B455" s="76" t="s">
        <v>2285</v>
      </c>
      <c r="C455" s="7" t="str">
        <f>IF(OR('1. Criteria &amp; Spec Matrix'!E190='3. Dropdowns'!C193,'1. Criteria &amp; Spec Matrix'!E190=""),"Show","Hide")</f>
        <v>Show</v>
      </c>
      <c r="D455" s="145"/>
      <c r="F455" s="70"/>
      <c r="G455" s="78" t="s">
        <v>121</v>
      </c>
      <c r="H455" s="75" t="s">
        <v>2287</v>
      </c>
    </row>
    <row r="456" spans="2:8" ht="30" hidden="1" outlineLevel="1">
      <c r="B456" s="76" t="s">
        <v>2285</v>
      </c>
      <c r="C456" s="7" t="str">
        <f>IF(OR('1. Criteria &amp; Spec Matrix'!E190='3. Dropdowns'!C193,'1. Criteria &amp; Spec Matrix'!E190=""),"Show","Hide")</f>
        <v>Show</v>
      </c>
      <c r="D456" s="145"/>
      <c r="F456" s="70"/>
      <c r="G456" s="70"/>
      <c r="H456" s="75" t="s">
        <v>2288</v>
      </c>
    </row>
    <row r="457" spans="2:8" ht="30" hidden="1" outlineLevel="1">
      <c r="B457" s="76" t="s">
        <v>2291</v>
      </c>
      <c r="C457" s="7" t="str">
        <f>IF(OR('1. Criteria &amp; Spec Matrix'!E190='3. Dropdowns'!C194,'1. Criteria &amp; Spec Matrix'!E190=""),"Show","Hide")</f>
        <v>Show</v>
      </c>
      <c r="D457" s="145"/>
      <c r="F457" s="12"/>
      <c r="G457" s="78" t="str">
        <f>IF(C455="Show","2.","1.")</f>
        <v>2.</v>
      </c>
      <c r="H457" s="75" t="s">
        <v>2289</v>
      </c>
    </row>
    <row r="458" spans="2:8" ht="30" hidden="1" outlineLevel="1">
      <c r="B458" s="76" t="s">
        <v>2291</v>
      </c>
      <c r="C458" s="7" t="str">
        <f>IF(OR('1. Criteria &amp; Spec Matrix'!E190='3. Dropdowns'!C194,'1. Criteria &amp; Spec Matrix'!E190=""),"Show","Hide")</f>
        <v>Show</v>
      </c>
      <c r="D458" s="145"/>
      <c r="F458" s="12"/>
      <c r="G458" s="78"/>
      <c r="H458" s="75" t="s">
        <v>2290</v>
      </c>
    </row>
    <row r="459" spans="2:8" hidden="1" outlineLevel="1">
      <c r="B459" s="76" t="s">
        <v>2293</v>
      </c>
      <c r="C459" s="7" t="str">
        <f>IF(OR('1. Criteria &amp; Spec Matrix'!E190='3. Dropdowns'!C195,'1. Criteria &amp; Spec Matrix'!E190=""),"Show","Hide")</f>
        <v>Show</v>
      </c>
      <c r="D459" s="145"/>
      <c r="F459" s="12"/>
      <c r="G459" s="78" t="s">
        <v>126</v>
      </c>
      <c r="H459" s="75" t="s">
        <v>2292</v>
      </c>
    </row>
    <row r="460" spans="2:8" ht="30" hidden="1" outlineLevel="1">
      <c r="B460" s="76" t="s">
        <v>2293</v>
      </c>
      <c r="C460" s="7" t="str">
        <f>IF(OR('1. Criteria &amp; Spec Matrix'!E190='3. Dropdowns'!C195,'1. Criteria &amp; Spec Matrix'!E190=""),"Show","Hide")</f>
        <v>Show</v>
      </c>
      <c r="D460" s="145"/>
      <c r="F460" s="12"/>
      <c r="G460" s="78"/>
      <c r="H460" s="75" t="s">
        <v>2295</v>
      </c>
    </row>
    <row r="461" spans="2:8" hidden="1" outlineLevel="1">
      <c r="B461" s="76" t="s">
        <v>2294</v>
      </c>
      <c r="C461" s="7" t="str">
        <f>IF(OR('1. Criteria &amp; Spec Matrix'!E190='3. Dropdowns'!C196,'1. Criteria &amp; Spec Matrix'!E190=""),"Show","Hide")</f>
        <v>Show</v>
      </c>
      <c r="D461" s="145"/>
      <c r="F461" s="12"/>
      <c r="G461" s="78" t="s">
        <v>127</v>
      </c>
      <c r="H461" s="75" t="s">
        <v>2297</v>
      </c>
    </row>
    <row r="462" spans="2:8" ht="30" hidden="1" outlineLevel="1">
      <c r="B462" s="76" t="s">
        <v>2294</v>
      </c>
      <c r="C462" s="7" t="str">
        <f>IF(OR('1. Criteria &amp; Spec Matrix'!E190='3. Dropdowns'!C196,'1. Criteria &amp; Spec Matrix'!E190=""),"Show","Hide")</f>
        <v>Show</v>
      </c>
      <c r="D462" s="145"/>
      <c r="F462" s="12"/>
      <c r="G462" s="78"/>
      <c r="H462" s="75" t="s">
        <v>2296</v>
      </c>
    </row>
    <row r="463" spans="2:8" hidden="1" outlineLevel="1">
      <c r="B463" s="76" t="s">
        <v>1174</v>
      </c>
      <c r="C463" s="7" t="str">
        <f>IF('1. Criteria &amp; Spec Matrix'!C237="Show","Show","Hide")</f>
        <v>Show</v>
      </c>
      <c r="D463" s="145"/>
      <c r="F463" s="12" t="s">
        <v>621</v>
      </c>
      <c r="G463" s="109" t="s">
        <v>1176</v>
      </c>
    </row>
    <row r="464" spans="2:8" hidden="1" outlineLevel="1">
      <c r="B464" s="76" t="s">
        <v>1174</v>
      </c>
      <c r="C464" s="7" t="str">
        <f>IF('1. Criteria &amp; Spec Matrix'!C237="Show","Show","Hide")</f>
        <v>Show</v>
      </c>
      <c r="D464" s="145"/>
      <c r="F464" s="12"/>
      <c r="G464" s="148" t="s">
        <v>121</v>
      </c>
      <c r="H464" s="75" t="s">
        <v>2298</v>
      </c>
    </row>
    <row r="465" spans="2:15" ht="92.1" hidden="1" customHeight="1" outlineLevel="1">
      <c r="B465" s="76" t="s">
        <v>1174</v>
      </c>
      <c r="C465" s="7" t="str">
        <f>IF('1. Criteria &amp; Spec Matrix'!C237="Show","Show","Hide")</f>
        <v>Show</v>
      </c>
      <c r="D465" s="145"/>
      <c r="F465" s="12"/>
      <c r="G465" s="148"/>
      <c r="H465" s="75" t="s">
        <v>2299</v>
      </c>
    </row>
    <row r="466" spans="2:15" hidden="1" outlineLevel="1">
      <c r="B466" s="76" t="s">
        <v>2300</v>
      </c>
      <c r="C466" s="7" t="str">
        <f>IF(C443="Show","Show","Hide")</f>
        <v>Show</v>
      </c>
      <c r="D466" s="145"/>
      <c r="F466" s="23"/>
      <c r="G466" s="69"/>
    </row>
    <row r="467" spans="2:15" collapsed="1">
      <c r="B467" s="77" t="s">
        <v>2388</v>
      </c>
      <c r="C467" s="7" t="str">
        <f>IF((COUNTIF(C474:C478,"Show")+COUNTIF(C481:C482,"Show")+COUNTIF(C484:C488,"Show"))&gt;0,"Show","Hide")</f>
        <v>Show</v>
      </c>
      <c r="D467" s="55" t="s">
        <v>2007</v>
      </c>
      <c r="E467" s="56"/>
      <c r="F467" s="57" t="s">
        <v>2008</v>
      </c>
      <c r="G467" s="56"/>
      <c r="H467" s="58"/>
      <c r="I467" s="79"/>
      <c r="J467" s="80"/>
      <c r="O467" s="80"/>
    </row>
    <row r="468" spans="2:15" hidden="1" outlineLevel="1">
      <c r="B468" s="77" t="s">
        <v>2388</v>
      </c>
      <c r="C468" s="7" t="str">
        <f>C467</f>
        <v>Show</v>
      </c>
      <c r="D468" s="23" t="s">
        <v>117</v>
      </c>
      <c r="E468" s="13"/>
      <c r="G468" s="13"/>
      <c r="I468" s="79"/>
      <c r="J468" s="82"/>
      <c r="K468" s="82"/>
      <c r="L468" s="82"/>
      <c r="M468" s="82"/>
      <c r="N468" s="17"/>
      <c r="O468" s="82"/>
    </row>
    <row r="469" spans="2:15" hidden="1" outlineLevel="1">
      <c r="B469" s="77" t="s">
        <v>2388</v>
      </c>
      <c r="C469" s="7" t="str">
        <f>C467</f>
        <v>Show</v>
      </c>
      <c r="D469" s="23"/>
      <c r="E469" s="13">
        <v>1.1000000000000001</v>
      </c>
      <c r="F469" s="11" t="s">
        <v>118</v>
      </c>
      <c r="G469" s="13"/>
      <c r="I469" s="79"/>
      <c r="J469" s="80"/>
      <c r="O469" s="80"/>
    </row>
    <row r="470" spans="2:15" hidden="1" outlineLevel="1">
      <c r="B470" s="77" t="s">
        <v>2388</v>
      </c>
      <c r="C470" s="7" t="str">
        <f>C467</f>
        <v>Show</v>
      </c>
      <c r="D470" s="23"/>
      <c r="E470" s="13"/>
      <c r="F470" s="70" t="s">
        <v>119</v>
      </c>
      <c r="G470" s="18" t="s">
        <v>677</v>
      </c>
      <c r="I470" s="79"/>
      <c r="J470" s="80"/>
      <c r="K470" s="27"/>
      <c r="L470" s="27"/>
      <c r="M470" s="27"/>
      <c r="N470" s="28"/>
      <c r="O470" s="27"/>
    </row>
    <row r="471" spans="2:15" hidden="1" outlineLevel="1">
      <c r="B471" s="77" t="s">
        <v>2388</v>
      </c>
      <c r="C471" s="7" t="str">
        <f>C467</f>
        <v>Show</v>
      </c>
      <c r="D471" s="23"/>
      <c r="E471" s="13"/>
      <c r="F471" s="70"/>
      <c r="G471" s="78" t="s">
        <v>121</v>
      </c>
      <c r="H471" s="79" t="s">
        <v>2308</v>
      </c>
      <c r="I471" s="79"/>
      <c r="J471" s="80"/>
      <c r="O471" s="80"/>
    </row>
    <row r="472" spans="2:15" hidden="1" outlineLevel="1">
      <c r="B472" s="77" t="s">
        <v>2388</v>
      </c>
      <c r="C472" s="7" t="str">
        <f>C467</f>
        <v>Show</v>
      </c>
      <c r="D472" s="23"/>
      <c r="E472" s="13"/>
      <c r="F472" s="70"/>
      <c r="G472" s="78" t="s">
        <v>123</v>
      </c>
      <c r="H472" s="28" t="s">
        <v>2301</v>
      </c>
      <c r="I472" s="79"/>
      <c r="J472" s="80"/>
      <c r="O472" s="80"/>
    </row>
    <row r="473" spans="2:15" hidden="1" outlineLevel="1">
      <c r="B473" s="77" t="s">
        <v>2388</v>
      </c>
      <c r="C473" s="7" t="str">
        <f>C467</f>
        <v>Show</v>
      </c>
      <c r="D473" s="23"/>
      <c r="E473" s="13"/>
      <c r="F473" s="70"/>
      <c r="G473" s="78" t="s">
        <v>126</v>
      </c>
      <c r="H473" s="79" t="s">
        <v>2303</v>
      </c>
      <c r="I473" s="79"/>
      <c r="J473" s="80"/>
      <c r="O473" s="80"/>
    </row>
    <row r="474" spans="2:15" hidden="1" outlineLevel="1">
      <c r="B474" s="77" t="s">
        <v>2388</v>
      </c>
      <c r="C474" s="7" t="str">
        <f>IF(COUNTIF(C475:C478,"Show")&gt;0,"Show","Hide")</f>
        <v>Show</v>
      </c>
      <c r="D474" s="23"/>
      <c r="E474" s="13">
        <v>1.2</v>
      </c>
      <c r="F474" s="71" t="s">
        <v>131</v>
      </c>
      <c r="G474" s="78"/>
      <c r="I474" s="79"/>
      <c r="J474" s="80"/>
      <c r="O474" s="80"/>
    </row>
    <row r="475" spans="2:15" hidden="1" outlineLevel="1">
      <c r="B475" s="77"/>
      <c r="C475" s="7" t="str">
        <f>C476</f>
        <v>Show</v>
      </c>
      <c r="D475" s="23"/>
      <c r="E475" s="13"/>
      <c r="F475" s="70" t="s">
        <v>119</v>
      </c>
      <c r="G475" s="12" t="s">
        <v>3403</v>
      </c>
      <c r="I475" s="79"/>
      <c r="J475" s="80"/>
      <c r="O475" s="80"/>
    </row>
    <row r="476" spans="2:15" hidden="1" outlineLevel="1">
      <c r="B476" s="77"/>
      <c r="C476" s="7" t="str">
        <f>IF('1. Criteria &amp; Spec Matrix'!E169='3. Dropdowns'!C132,"Hide","Show")</f>
        <v>Show</v>
      </c>
      <c r="D476" s="23"/>
      <c r="E476" s="13"/>
      <c r="F476" s="71"/>
      <c r="G476" s="78" t="s">
        <v>121</v>
      </c>
      <c r="H476" s="75" t="s">
        <v>2867</v>
      </c>
      <c r="I476" s="79"/>
      <c r="J476" s="80"/>
      <c r="O476" s="80"/>
    </row>
    <row r="477" spans="2:15" hidden="1" outlineLevel="1">
      <c r="B477" s="77" t="s">
        <v>2388</v>
      </c>
      <c r="C477" s="7" t="str">
        <f>C478</f>
        <v>Show</v>
      </c>
      <c r="D477" s="23"/>
      <c r="E477" s="13"/>
      <c r="F477" s="4" t="str">
        <f>CHAR(65+(COUNTIF(C$475:C476,"Show")/2))&amp;"."</f>
        <v>B.</v>
      </c>
      <c r="G477" s="12" t="s">
        <v>3404</v>
      </c>
      <c r="I477" s="79"/>
      <c r="J477" s="80"/>
      <c r="O477" s="80"/>
    </row>
    <row r="478" spans="2:15" hidden="1" outlineLevel="1">
      <c r="B478" s="77" t="s">
        <v>2388</v>
      </c>
      <c r="C478" s="7" t="str">
        <f>IF(OR('1. Criteria &amp; Spec Matrix'!C236="Show",'1. Criteria &amp; Spec Matrix'!C237="Show"),"Show","Hide")</f>
        <v>Show</v>
      </c>
      <c r="D478" s="23"/>
      <c r="E478" s="13"/>
      <c r="F478" s="70"/>
      <c r="G478" s="78" t="s">
        <v>121</v>
      </c>
      <c r="H478" s="75" t="s">
        <v>2309</v>
      </c>
      <c r="I478" s="79"/>
      <c r="J478" s="80"/>
      <c r="O478" s="80"/>
    </row>
    <row r="479" spans="2:15" hidden="1" outlineLevel="1">
      <c r="B479" s="77" t="s">
        <v>2388</v>
      </c>
      <c r="C479" s="7" t="str">
        <f>C467</f>
        <v>Show</v>
      </c>
      <c r="D479" s="23" t="s">
        <v>613</v>
      </c>
      <c r="E479" s="13"/>
      <c r="G479" s="13"/>
      <c r="I479" s="79"/>
      <c r="J479" s="80"/>
      <c r="O479" s="80"/>
    </row>
    <row r="480" spans="2:15" hidden="1" outlineLevel="1">
      <c r="B480" s="77" t="s">
        <v>2388</v>
      </c>
      <c r="C480" s="7" t="str">
        <f>C467</f>
        <v>Show</v>
      </c>
      <c r="D480" s="23"/>
      <c r="E480" s="12" t="str">
        <f>IF(C482="Show","2.1 Product Requirements","(no EGC requirements)")</f>
        <v>2.1 Product Requirements</v>
      </c>
      <c r="G480" s="13"/>
      <c r="I480" s="79"/>
      <c r="J480" s="80"/>
      <c r="O480" s="80"/>
    </row>
    <row r="481" spans="2:19" hidden="1" outlineLevel="1">
      <c r="B481" s="77"/>
      <c r="C481" s="7" t="str">
        <f>C482</f>
        <v>Show</v>
      </c>
      <c r="D481" s="23"/>
      <c r="E481" s="12"/>
      <c r="F481" s="70" t="s">
        <v>119</v>
      </c>
      <c r="G481" s="12" t="s">
        <v>3403</v>
      </c>
      <c r="I481" s="79"/>
      <c r="J481" s="80"/>
      <c r="O481" s="80"/>
    </row>
    <row r="482" spans="2:19" hidden="1" outlineLevel="1">
      <c r="B482" s="77"/>
      <c r="C482" s="7" t="str">
        <f>IF('1. Criteria &amp; Spec Matrix'!E169='3. Dropdowns'!C132,"Hide","Show")</f>
        <v>Show</v>
      </c>
      <c r="D482" s="23"/>
      <c r="E482" s="12"/>
      <c r="F482" s="71"/>
      <c r="G482" s="78" t="s">
        <v>121</v>
      </c>
      <c r="H482" s="75" t="s">
        <v>2871</v>
      </c>
      <c r="I482" s="79"/>
      <c r="J482" s="80"/>
      <c r="O482" s="80"/>
    </row>
    <row r="483" spans="2:19" hidden="1" outlineLevel="1">
      <c r="B483" s="77" t="s">
        <v>2388</v>
      </c>
      <c r="C483" s="7" t="str">
        <f>C467</f>
        <v>Show</v>
      </c>
      <c r="D483" s="23" t="s">
        <v>187</v>
      </c>
      <c r="E483" s="13"/>
      <c r="G483" s="13"/>
      <c r="I483" s="79"/>
      <c r="J483" s="80"/>
      <c r="O483" s="80"/>
    </row>
    <row r="484" spans="2:19" hidden="1" outlineLevel="1">
      <c r="B484" s="77" t="s">
        <v>2388</v>
      </c>
      <c r="C484" s="7" t="str">
        <f>C478</f>
        <v>Show</v>
      </c>
      <c r="D484" s="23"/>
      <c r="E484" s="13">
        <v>3.1</v>
      </c>
      <c r="F484" s="11" t="s">
        <v>616</v>
      </c>
      <c r="G484" s="13"/>
      <c r="I484" s="79"/>
      <c r="J484" s="80"/>
      <c r="O484" s="80"/>
    </row>
    <row r="485" spans="2:19" hidden="1" outlineLevel="1">
      <c r="B485" s="77"/>
      <c r="C485" s="7" t="str">
        <f>C486</f>
        <v>Show</v>
      </c>
      <c r="D485" s="23"/>
      <c r="E485" s="13"/>
      <c r="F485" s="70" t="s">
        <v>119</v>
      </c>
      <c r="G485" s="12" t="s">
        <v>3403</v>
      </c>
      <c r="I485" s="79"/>
      <c r="J485" s="80"/>
      <c r="O485" s="80"/>
    </row>
    <row r="486" spans="2:19" hidden="1" outlineLevel="1">
      <c r="B486" s="77"/>
      <c r="C486" s="7" t="str">
        <f>IF('1. Criteria &amp; Spec Matrix'!E169='3. Dropdowns'!C132,"Hide","Show")</f>
        <v>Show</v>
      </c>
      <c r="D486" s="23"/>
      <c r="E486" s="13"/>
      <c r="G486" s="78" t="s">
        <v>121</v>
      </c>
      <c r="H486" s="75" t="s">
        <v>2874</v>
      </c>
      <c r="I486" s="79"/>
      <c r="J486" s="80"/>
      <c r="O486" s="80"/>
    </row>
    <row r="487" spans="2:19" hidden="1" outlineLevel="1">
      <c r="B487" s="77" t="s">
        <v>2388</v>
      </c>
      <c r="C487" s="7" t="str">
        <f>C478</f>
        <v>Show</v>
      </c>
      <c r="D487" s="23"/>
      <c r="E487" s="13"/>
      <c r="F487" s="4" t="str">
        <f>CHAR(65+(COUNTIF(C$485:C486,"Show")/2))&amp;"."</f>
        <v>B.</v>
      </c>
      <c r="G487" s="12" t="s">
        <v>3404</v>
      </c>
      <c r="I487" s="79"/>
      <c r="J487" s="80"/>
      <c r="O487" s="80"/>
    </row>
    <row r="488" spans="2:19" hidden="1" outlineLevel="1">
      <c r="B488" s="77" t="s">
        <v>2388</v>
      </c>
      <c r="C488" s="7" t="str">
        <f>C478</f>
        <v>Show</v>
      </c>
      <c r="D488" s="23"/>
      <c r="E488" s="13"/>
      <c r="G488" s="78" t="s">
        <v>121</v>
      </c>
      <c r="H488" s="75" t="s">
        <v>2310</v>
      </c>
      <c r="I488" s="79"/>
      <c r="J488" s="80"/>
      <c r="O488" s="80"/>
    </row>
    <row r="489" spans="2:19" hidden="1" outlineLevel="1">
      <c r="B489" s="77" t="s">
        <v>2388</v>
      </c>
      <c r="C489" s="7" t="str">
        <f>C467</f>
        <v>Show</v>
      </c>
      <c r="E489" s="27"/>
      <c r="G489" s="80"/>
      <c r="I489" s="79"/>
      <c r="J489" s="80"/>
      <c r="O489" s="80"/>
    </row>
    <row r="490" spans="2:19" collapsed="1">
      <c r="B490" s="77" t="s">
        <v>2389</v>
      </c>
      <c r="C490" s="7" t="str">
        <f>IF(OR('1. Criteria &amp; Spec Matrix'!E246="",'1. Criteria &amp; Spec Matrix'!E246='3. Dropdowns'!C330),"Show","Hide")</f>
        <v>Show</v>
      </c>
      <c r="D490" s="55" t="s">
        <v>1588</v>
      </c>
      <c r="E490" s="56"/>
      <c r="F490" s="57" t="s">
        <v>1586</v>
      </c>
      <c r="G490" s="56"/>
      <c r="H490" s="58"/>
      <c r="I490" s="27"/>
      <c r="J490" s="80"/>
      <c r="O490" s="80"/>
    </row>
    <row r="491" spans="2:19" hidden="1" outlineLevel="1">
      <c r="B491" s="77" t="s">
        <v>2389</v>
      </c>
      <c r="C491" s="7" t="str">
        <f>C490</f>
        <v>Show</v>
      </c>
      <c r="D491" s="23" t="s">
        <v>117</v>
      </c>
      <c r="E491" s="13"/>
      <c r="G491" s="13"/>
      <c r="I491" s="79"/>
      <c r="J491" s="80"/>
      <c r="K491" s="80"/>
      <c r="M491" s="80"/>
      <c r="N491" s="80"/>
      <c r="O491" s="80"/>
      <c r="P491" s="80"/>
      <c r="Q491" s="80"/>
      <c r="R491" s="81"/>
      <c r="S491" s="80"/>
    </row>
    <row r="492" spans="2:19" hidden="1" outlineLevel="1">
      <c r="B492" s="77" t="s">
        <v>2389</v>
      </c>
      <c r="C492" s="7" t="str">
        <f>C490</f>
        <v>Show</v>
      </c>
      <c r="D492" s="23"/>
      <c r="E492" s="13">
        <v>1.1000000000000001</v>
      </c>
      <c r="F492" s="11" t="s">
        <v>118</v>
      </c>
      <c r="G492" s="13"/>
      <c r="I492" s="79"/>
      <c r="J492" s="80"/>
      <c r="O492" s="80"/>
    </row>
    <row r="493" spans="2:19" hidden="1" outlineLevel="1">
      <c r="B493" s="77" t="s">
        <v>2389</v>
      </c>
      <c r="C493" s="7" t="str">
        <f>C490</f>
        <v>Show</v>
      </c>
      <c r="D493" s="23"/>
      <c r="E493" s="13"/>
      <c r="F493" s="70" t="s">
        <v>119</v>
      </c>
      <c r="G493" s="18" t="s">
        <v>677</v>
      </c>
      <c r="I493" s="79"/>
      <c r="J493" s="80"/>
      <c r="K493" s="27"/>
      <c r="L493" s="27"/>
      <c r="M493" s="27"/>
      <c r="N493" s="28"/>
      <c r="O493" s="27"/>
    </row>
    <row r="494" spans="2:19" hidden="1" outlineLevel="1">
      <c r="B494" s="77" t="s">
        <v>2389</v>
      </c>
      <c r="C494" s="7" t="str">
        <f>C490</f>
        <v>Show</v>
      </c>
      <c r="D494" s="23"/>
      <c r="E494" s="13"/>
      <c r="F494" s="70"/>
      <c r="G494" s="78" t="s">
        <v>121</v>
      </c>
      <c r="H494" s="79" t="s">
        <v>2301</v>
      </c>
      <c r="I494" s="79"/>
      <c r="J494" s="80"/>
      <c r="O494" s="80"/>
    </row>
    <row r="495" spans="2:19" hidden="1" outlineLevel="1">
      <c r="B495" s="77" t="s">
        <v>2389</v>
      </c>
      <c r="C495" s="7" t="str">
        <f>C490</f>
        <v>Show</v>
      </c>
      <c r="D495" s="23"/>
      <c r="E495" s="13">
        <v>1.2</v>
      </c>
      <c r="F495" s="71" t="s">
        <v>131</v>
      </c>
      <c r="G495" s="78"/>
      <c r="I495" s="79"/>
      <c r="J495" s="80"/>
      <c r="O495" s="80"/>
    </row>
    <row r="496" spans="2:19" hidden="1" outlineLevel="1">
      <c r="B496" s="77" t="s">
        <v>2389</v>
      </c>
      <c r="C496" s="7" t="str">
        <f>C490</f>
        <v>Show</v>
      </c>
      <c r="D496" s="23"/>
      <c r="E496" s="13"/>
      <c r="F496" s="70" t="s">
        <v>119</v>
      </c>
      <c r="G496" s="12" t="s">
        <v>3405</v>
      </c>
      <c r="I496" s="79"/>
      <c r="J496" s="80"/>
      <c r="O496" s="80"/>
    </row>
    <row r="497" spans="2:15" hidden="1" outlineLevel="1">
      <c r="B497" s="77" t="s">
        <v>2389</v>
      </c>
      <c r="C497" s="7" t="str">
        <f>C490</f>
        <v>Show</v>
      </c>
      <c r="D497" s="23"/>
      <c r="E497" s="13"/>
      <c r="F497" s="70"/>
      <c r="G497" s="78" t="s">
        <v>121</v>
      </c>
      <c r="H497" s="75" t="s">
        <v>2318</v>
      </c>
      <c r="I497" s="79"/>
      <c r="J497" s="80"/>
      <c r="O497" s="80"/>
    </row>
    <row r="498" spans="2:15" hidden="1" outlineLevel="1">
      <c r="B498" s="77" t="s">
        <v>2389</v>
      </c>
      <c r="C498" s="7" t="str">
        <f>C490</f>
        <v>Show</v>
      </c>
      <c r="D498" s="23" t="s">
        <v>613</v>
      </c>
      <c r="E498" s="13"/>
      <c r="G498" s="13"/>
      <c r="I498" s="79"/>
      <c r="J498" s="80"/>
      <c r="O498" s="80"/>
    </row>
    <row r="499" spans="2:15" hidden="1" outlineLevel="1">
      <c r="B499" s="77" t="s">
        <v>2389</v>
      </c>
      <c r="C499" s="7" t="str">
        <f>C490</f>
        <v>Show</v>
      </c>
      <c r="D499" s="23"/>
      <c r="E499" s="12" t="s">
        <v>2320</v>
      </c>
      <c r="G499" s="13"/>
      <c r="I499" s="79"/>
      <c r="J499" s="80"/>
      <c r="O499" s="80"/>
    </row>
    <row r="500" spans="2:15" hidden="1" outlineLevel="1">
      <c r="B500" s="77" t="s">
        <v>2389</v>
      </c>
      <c r="C500" s="7" t="str">
        <f>C490</f>
        <v>Show</v>
      </c>
      <c r="D500" s="23"/>
      <c r="E500" s="12"/>
      <c r="F500" s="11" t="s">
        <v>119</v>
      </c>
      <c r="G500" s="12" t="s">
        <v>3405</v>
      </c>
      <c r="I500" s="79"/>
      <c r="J500" s="80"/>
      <c r="O500" s="80"/>
    </row>
    <row r="501" spans="2:15" hidden="1" outlineLevel="1">
      <c r="B501" s="77" t="s">
        <v>2389</v>
      </c>
      <c r="C501" s="7" t="str">
        <f>C490</f>
        <v>Show</v>
      </c>
      <c r="D501" s="23"/>
      <c r="E501" s="12"/>
      <c r="G501" s="30" t="s">
        <v>121</v>
      </c>
      <c r="H501" s="75" t="s">
        <v>2321</v>
      </c>
      <c r="I501" s="79"/>
      <c r="J501" s="80"/>
      <c r="O501" s="80"/>
    </row>
    <row r="502" spans="2:15" hidden="1" outlineLevel="1">
      <c r="B502" s="77" t="s">
        <v>2389</v>
      </c>
      <c r="C502" s="7" t="str">
        <f>C490</f>
        <v>Show</v>
      </c>
      <c r="D502" s="23" t="s">
        <v>187</v>
      </c>
      <c r="E502" s="13"/>
      <c r="G502" s="13"/>
      <c r="I502" s="79"/>
      <c r="J502" s="80"/>
      <c r="O502" s="80"/>
    </row>
    <row r="503" spans="2:15" hidden="1" outlineLevel="1">
      <c r="B503" s="77" t="s">
        <v>2389</v>
      </c>
      <c r="C503" s="7" t="str">
        <f>C490</f>
        <v>Show</v>
      </c>
      <c r="D503" s="23"/>
      <c r="E503" s="13">
        <v>3.1</v>
      </c>
      <c r="F503" s="11" t="s">
        <v>616</v>
      </c>
      <c r="G503" s="13"/>
      <c r="I503" s="79"/>
      <c r="J503" s="80"/>
      <c r="O503" s="80"/>
    </row>
    <row r="504" spans="2:15" hidden="1" outlineLevel="1">
      <c r="B504" s="77" t="s">
        <v>2389</v>
      </c>
      <c r="C504" s="7" t="str">
        <f>C490</f>
        <v>Show</v>
      </c>
      <c r="D504" s="23"/>
      <c r="E504" s="13"/>
      <c r="F504" s="70" t="s">
        <v>119</v>
      </c>
      <c r="G504" s="12" t="s">
        <v>3405</v>
      </c>
      <c r="I504" s="79"/>
      <c r="J504" s="80"/>
      <c r="O504" s="80"/>
    </row>
    <row r="505" spans="2:15" hidden="1" outlineLevel="1">
      <c r="B505" s="77" t="s">
        <v>2389</v>
      </c>
      <c r="C505" s="7" t="str">
        <f>C490</f>
        <v>Show</v>
      </c>
      <c r="D505" s="23"/>
      <c r="E505" s="13"/>
      <c r="G505" s="78" t="s">
        <v>121</v>
      </c>
      <c r="H505" s="75" t="s">
        <v>2319</v>
      </c>
      <c r="I505" s="79"/>
      <c r="J505" s="80"/>
      <c r="O505" s="80"/>
    </row>
    <row r="506" spans="2:15" hidden="1" outlineLevel="1">
      <c r="B506" s="77" t="s">
        <v>2389</v>
      </c>
      <c r="C506" s="7" t="str">
        <f>C490</f>
        <v>Show</v>
      </c>
      <c r="D506" s="145"/>
      <c r="F506" s="23"/>
      <c r="G506" s="69"/>
    </row>
    <row r="507" spans="2:15" collapsed="1">
      <c r="B507" s="76"/>
      <c r="C507" s="7" t="s">
        <v>116</v>
      </c>
      <c r="D507" s="51" t="s">
        <v>225</v>
      </c>
      <c r="E507" s="35"/>
      <c r="F507" s="52" t="s">
        <v>614</v>
      </c>
      <c r="G507" s="53"/>
      <c r="H507" s="54"/>
    </row>
    <row r="508" spans="2:15" hidden="1" outlineLevel="1">
      <c r="B508" s="76"/>
      <c r="C508" s="7" t="s">
        <v>116</v>
      </c>
      <c r="D508" s="23" t="s">
        <v>117</v>
      </c>
      <c r="E508" s="13"/>
      <c r="G508" s="13"/>
    </row>
    <row r="509" spans="2:15" hidden="1" outlineLevel="1">
      <c r="B509" s="76"/>
      <c r="C509" s="7" t="s">
        <v>116</v>
      </c>
      <c r="D509" s="23"/>
      <c r="E509" s="13">
        <v>1.1000000000000001</v>
      </c>
      <c r="F509" s="11" t="s">
        <v>118</v>
      </c>
      <c r="G509" s="13"/>
    </row>
    <row r="510" spans="2:15" hidden="1" outlineLevel="1">
      <c r="B510" s="76"/>
      <c r="C510" s="7" t="s">
        <v>116</v>
      </c>
      <c r="D510" s="23"/>
      <c r="E510" s="13"/>
      <c r="F510" s="70" t="s">
        <v>119</v>
      </c>
      <c r="G510" s="18" t="s">
        <v>677</v>
      </c>
    </row>
    <row r="511" spans="2:15" hidden="1" outlineLevel="1">
      <c r="B511" s="76"/>
      <c r="C511" s="7" t="s">
        <v>116</v>
      </c>
      <c r="D511" s="23"/>
      <c r="E511" s="13"/>
      <c r="F511" s="70"/>
      <c r="G511" s="78" t="s">
        <v>121</v>
      </c>
      <c r="H511" s="28" t="s">
        <v>678</v>
      </c>
    </row>
    <row r="512" spans="2:15" hidden="1" outlineLevel="1">
      <c r="B512" s="76"/>
      <c r="C512" s="7" t="s">
        <v>116</v>
      </c>
      <c r="D512" s="23"/>
      <c r="E512" s="13"/>
      <c r="F512" s="70"/>
      <c r="G512" s="78" t="s">
        <v>123</v>
      </c>
      <c r="H512" s="28" t="s">
        <v>680</v>
      </c>
    </row>
    <row r="513" spans="2:19" hidden="1" outlineLevel="1">
      <c r="B513" s="76"/>
      <c r="C513" s="7" t="s">
        <v>116</v>
      </c>
      <c r="D513" s="23"/>
      <c r="E513" s="13"/>
      <c r="F513" s="70"/>
      <c r="G513" s="78" t="s">
        <v>126</v>
      </c>
      <c r="H513" s="28" t="s">
        <v>681</v>
      </c>
    </row>
    <row r="514" spans="2:19" hidden="1" outlineLevel="1">
      <c r="B514" s="76"/>
      <c r="C514" s="7" t="s">
        <v>116</v>
      </c>
      <c r="D514" s="23"/>
      <c r="E514" s="13"/>
      <c r="F514" s="70"/>
      <c r="G514" s="78" t="s">
        <v>127</v>
      </c>
      <c r="H514" s="28" t="s">
        <v>682</v>
      </c>
    </row>
    <row r="515" spans="2:19" hidden="1" outlineLevel="1">
      <c r="B515" s="76"/>
      <c r="C515" s="7" t="s">
        <v>116</v>
      </c>
      <c r="D515" s="23"/>
      <c r="E515" s="13">
        <v>1.2</v>
      </c>
      <c r="F515" s="71" t="s">
        <v>131</v>
      </c>
      <c r="G515" s="78"/>
      <c r="H515" s="28"/>
    </row>
    <row r="516" spans="2:19" hidden="1" outlineLevel="1">
      <c r="B516" s="76"/>
      <c r="C516" s="7" t="s">
        <v>116</v>
      </c>
      <c r="D516" s="23"/>
      <c r="E516" s="13"/>
      <c r="F516" s="70" t="s">
        <v>119</v>
      </c>
      <c r="G516" s="109" t="s">
        <v>3406</v>
      </c>
      <c r="H516" s="28"/>
    </row>
    <row r="517" spans="2:19" hidden="1" outlineLevel="1">
      <c r="B517" s="76"/>
      <c r="C517" s="7" t="s">
        <v>116</v>
      </c>
      <c r="D517" s="23"/>
      <c r="E517" s="13"/>
      <c r="F517" s="70"/>
      <c r="G517" s="78" t="s">
        <v>121</v>
      </c>
      <c r="H517" s="75" t="s">
        <v>2270</v>
      </c>
    </row>
    <row r="518" spans="2:19" hidden="1" outlineLevel="1">
      <c r="B518" s="76"/>
      <c r="C518" s="7" t="s">
        <v>116</v>
      </c>
      <c r="D518" s="23" t="s">
        <v>613</v>
      </c>
      <c r="E518" s="13"/>
      <c r="G518" s="13"/>
    </row>
    <row r="519" spans="2:19" hidden="1" outlineLevel="1">
      <c r="B519" s="76"/>
      <c r="C519" s="7" t="s">
        <v>116</v>
      </c>
      <c r="D519" s="23"/>
      <c r="E519" s="12" t="s">
        <v>679</v>
      </c>
      <c r="G519" s="13"/>
    </row>
    <row r="520" spans="2:19" hidden="1" outlineLevel="1">
      <c r="B520" s="76"/>
      <c r="C520" s="7" t="s">
        <v>116</v>
      </c>
      <c r="D520" s="23" t="s">
        <v>187</v>
      </c>
      <c r="E520" s="13"/>
      <c r="G520" s="13"/>
    </row>
    <row r="521" spans="2:19" hidden="1" outlineLevel="1">
      <c r="B521" s="76"/>
      <c r="C521" s="7" t="s">
        <v>116</v>
      </c>
      <c r="D521" s="23"/>
      <c r="E521" s="13">
        <v>3.1</v>
      </c>
      <c r="F521" s="11" t="s">
        <v>616</v>
      </c>
      <c r="G521" s="13"/>
    </row>
    <row r="522" spans="2:19" hidden="1" outlineLevel="1">
      <c r="B522" s="76"/>
      <c r="C522" s="7" t="s">
        <v>116</v>
      </c>
      <c r="D522" s="23"/>
      <c r="E522" s="13"/>
      <c r="F522" s="70" t="s">
        <v>119</v>
      </c>
      <c r="G522" s="109" t="s">
        <v>3406</v>
      </c>
    </row>
    <row r="523" spans="2:19" hidden="1" outlineLevel="1">
      <c r="B523" s="76"/>
      <c r="C523" s="7" t="s">
        <v>116</v>
      </c>
      <c r="D523" s="23"/>
      <c r="E523" s="13"/>
      <c r="G523" s="78" t="s">
        <v>121</v>
      </c>
      <c r="H523" s="75" t="s">
        <v>683</v>
      </c>
    </row>
    <row r="524" spans="2:19" hidden="1" outlineLevel="1">
      <c r="C524" s="7" t="s">
        <v>116</v>
      </c>
    </row>
    <row r="525" spans="2:19" collapsed="1">
      <c r="B525" s="77" t="s">
        <v>2322</v>
      </c>
      <c r="C525" s="7" t="str">
        <f>IF(OR('1. Criteria &amp; Spec Matrix'!E215='3. Dropdowns'!C250,'1. Criteria &amp; Spec Matrix'!E215='3. Dropdowns'!C251,'1. Criteria &amp; Spec Matrix'!E216='3. Dropdowns'!C250,'1. Criteria &amp; Spec Matrix'!E216='3. Dropdowns'!C251),"Show",
IF(OR('1. Criteria &amp; Spec Matrix'!E215="",'1. Criteria &amp; Spec Matrix'!E216=""),"Show","Hide"))</f>
        <v>Show</v>
      </c>
      <c r="D525" s="56" t="s">
        <v>565</v>
      </c>
      <c r="E525" s="56"/>
      <c r="F525" s="52" t="s">
        <v>566</v>
      </c>
      <c r="G525" s="56"/>
      <c r="H525" s="58"/>
      <c r="I525" s="27"/>
      <c r="J525" s="80"/>
      <c r="O525" s="80"/>
    </row>
    <row r="526" spans="2:19" hidden="1" outlineLevel="1">
      <c r="B526" s="77" t="s">
        <v>2322</v>
      </c>
      <c r="C526" s="7" t="str">
        <f>C525</f>
        <v>Show</v>
      </c>
      <c r="D526" s="23" t="s">
        <v>117</v>
      </c>
      <c r="E526" s="13"/>
      <c r="G526" s="13"/>
      <c r="I526" s="79"/>
      <c r="J526" s="80"/>
      <c r="K526" s="80"/>
      <c r="M526" s="80"/>
      <c r="N526" s="80"/>
      <c r="O526" s="80"/>
      <c r="P526" s="80"/>
      <c r="Q526" s="80"/>
      <c r="R526" s="81"/>
      <c r="S526" s="80"/>
    </row>
    <row r="527" spans="2:19" hidden="1" outlineLevel="1">
      <c r="B527" s="77" t="s">
        <v>2322</v>
      </c>
      <c r="C527" s="7" t="str">
        <f>C525</f>
        <v>Show</v>
      </c>
      <c r="D527" s="23"/>
      <c r="E527" s="13">
        <v>1.1000000000000001</v>
      </c>
      <c r="F527" s="11" t="s">
        <v>118</v>
      </c>
      <c r="G527" s="13"/>
      <c r="I527" s="79"/>
      <c r="J527" s="80"/>
      <c r="O527" s="80"/>
    </row>
    <row r="528" spans="2:19" hidden="1" outlineLevel="1">
      <c r="B528" s="77" t="s">
        <v>2322</v>
      </c>
      <c r="C528" s="7" t="str">
        <f>C525</f>
        <v>Show</v>
      </c>
      <c r="D528" s="23"/>
      <c r="E528" s="13"/>
      <c r="F528" s="70" t="s">
        <v>119</v>
      </c>
      <c r="G528" s="18" t="s">
        <v>677</v>
      </c>
      <c r="I528" s="79"/>
      <c r="J528" s="80"/>
      <c r="K528" s="27"/>
      <c r="L528" s="27"/>
      <c r="M528" s="27"/>
      <c r="N528" s="28"/>
      <c r="O528" s="27"/>
    </row>
    <row r="529" spans="2:15" hidden="1" outlineLevel="1">
      <c r="B529" s="77" t="s">
        <v>2322</v>
      </c>
      <c r="C529" s="7" t="str">
        <f>C525</f>
        <v>Show</v>
      </c>
      <c r="D529" s="23"/>
      <c r="E529" s="13"/>
      <c r="F529" s="70"/>
      <c r="G529" s="78" t="s">
        <v>121</v>
      </c>
      <c r="H529" s="79" t="s">
        <v>2301</v>
      </c>
      <c r="I529" s="79"/>
      <c r="J529" s="80"/>
      <c r="O529" s="80"/>
    </row>
    <row r="530" spans="2:15" hidden="1" outlineLevel="1">
      <c r="B530" s="77" t="s">
        <v>2322</v>
      </c>
      <c r="C530" s="7" t="str">
        <f>C525</f>
        <v>Show</v>
      </c>
      <c r="D530" s="23"/>
      <c r="E530" s="13">
        <v>1.2</v>
      </c>
      <c r="F530" s="71" t="s">
        <v>131</v>
      </c>
      <c r="G530" s="78"/>
      <c r="I530" s="79"/>
      <c r="J530" s="80"/>
      <c r="O530" s="80"/>
    </row>
    <row r="531" spans="2:15" hidden="1" outlineLevel="1">
      <c r="B531" s="77" t="s">
        <v>2322</v>
      </c>
      <c r="C531" s="7" t="str">
        <f>C525</f>
        <v>Show</v>
      </c>
      <c r="D531" s="23"/>
      <c r="E531" s="13"/>
      <c r="F531" s="70" t="s">
        <v>119</v>
      </c>
      <c r="G531" s="12" t="s">
        <v>3407</v>
      </c>
      <c r="I531" s="79"/>
      <c r="J531" s="80"/>
      <c r="O531" s="80"/>
    </row>
    <row r="532" spans="2:15" hidden="1" outlineLevel="1">
      <c r="B532" s="77" t="s">
        <v>2322</v>
      </c>
      <c r="C532" s="7" t="str">
        <f>C525</f>
        <v>Show</v>
      </c>
      <c r="D532" s="23"/>
      <c r="E532" s="13"/>
      <c r="F532" s="70"/>
      <c r="G532" s="78" t="s">
        <v>121</v>
      </c>
      <c r="H532" s="75" t="s">
        <v>2323</v>
      </c>
      <c r="I532" s="79"/>
      <c r="J532" s="80"/>
      <c r="O532" s="80"/>
    </row>
    <row r="533" spans="2:15" hidden="1" outlineLevel="1">
      <c r="B533" s="77" t="s">
        <v>2322</v>
      </c>
      <c r="C533" s="7" t="str">
        <f>C525</f>
        <v>Show</v>
      </c>
      <c r="D533" s="23" t="s">
        <v>613</v>
      </c>
      <c r="E533" s="13"/>
      <c r="G533" s="13"/>
      <c r="I533" s="79"/>
      <c r="J533" s="80"/>
      <c r="O533" s="80"/>
    </row>
    <row r="534" spans="2:15" hidden="1" outlineLevel="1">
      <c r="B534" s="77" t="s">
        <v>2322</v>
      </c>
      <c r="C534" s="7" t="str">
        <f>C525</f>
        <v>Show</v>
      </c>
      <c r="D534" s="23"/>
      <c r="E534" s="12" t="s">
        <v>679</v>
      </c>
      <c r="G534" s="13"/>
      <c r="I534" s="79"/>
      <c r="J534" s="80"/>
      <c r="O534" s="80"/>
    </row>
    <row r="535" spans="2:15" hidden="1" outlineLevel="1">
      <c r="B535" s="77" t="s">
        <v>2322</v>
      </c>
      <c r="C535" s="7" t="str">
        <f>C525</f>
        <v>Show</v>
      </c>
      <c r="D535" s="23" t="s">
        <v>187</v>
      </c>
      <c r="E535" s="13"/>
      <c r="G535" s="13"/>
      <c r="I535" s="79"/>
      <c r="J535" s="80"/>
      <c r="O535" s="80"/>
    </row>
    <row r="536" spans="2:15" hidden="1" outlineLevel="1">
      <c r="B536" s="77" t="s">
        <v>2322</v>
      </c>
      <c r="C536" s="7" t="str">
        <f>C525</f>
        <v>Show</v>
      </c>
      <c r="D536" s="23"/>
      <c r="E536" s="13">
        <v>3.1</v>
      </c>
      <c r="F536" s="11" t="s">
        <v>616</v>
      </c>
      <c r="G536" s="13"/>
      <c r="I536" s="79"/>
      <c r="J536" s="80"/>
      <c r="O536" s="80"/>
    </row>
    <row r="537" spans="2:15" hidden="1" outlineLevel="1">
      <c r="B537" s="77" t="s">
        <v>2322</v>
      </c>
      <c r="C537" s="7" t="str">
        <f>C525</f>
        <v>Show</v>
      </c>
      <c r="D537" s="23"/>
      <c r="E537" s="13"/>
      <c r="F537" s="70" t="s">
        <v>119</v>
      </c>
      <c r="G537" s="12" t="s">
        <v>3407</v>
      </c>
      <c r="I537" s="79"/>
      <c r="J537" s="80"/>
      <c r="O537" s="80"/>
    </row>
    <row r="538" spans="2:15" hidden="1" outlineLevel="1">
      <c r="B538" s="77" t="s">
        <v>2322</v>
      </c>
      <c r="C538" s="7" t="str">
        <f>C525</f>
        <v>Show</v>
      </c>
      <c r="D538" s="23"/>
      <c r="E538" s="13"/>
      <c r="G538" s="78" t="s">
        <v>121</v>
      </c>
      <c r="H538" s="75" t="s">
        <v>2324</v>
      </c>
      <c r="I538" s="79"/>
      <c r="J538" s="80"/>
      <c r="O538" s="80"/>
    </row>
    <row r="539" spans="2:15" hidden="1" outlineLevel="1">
      <c r="B539" s="77" t="s">
        <v>2322</v>
      </c>
      <c r="C539" s="7" t="str">
        <f>C525</f>
        <v>Show</v>
      </c>
      <c r="D539" s="23"/>
      <c r="E539" s="13"/>
      <c r="G539" s="78"/>
      <c r="I539" s="79"/>
      <c r="J539" s="80"/>
      <c r="O539" s="80"/>
    </row>
    <row r="540" spans="2:15" collapsed="1">
      <c r="B540" s="76" t="s">
        <v>2325</v>
      </c>
      <c r="C540" s="7" t="str">
        <f>IF(OR('1. Criteria &amp; Spec Matrix'!D7='3. Dropdowns'!C18,'1. Criteria &amp; Spec Matrix'!D7='3. Dropdowns'!C19,'1. Criteria &amp; Spec Matrix'!D7='3. Dropdowns'!C20,'1. Criteria &amp; Spec Matrix'!D7=""),"Show","Hide")</f>
        <v>Show</v>
      </c>
      <c r="D540" s="51" t="s">
        <v>229</v>
      </c>
      <c r="E540" s="56"/>
      <c r="F540" s="52" t="s">
        <v>567</v>
      </c>
      <c r="G540" s="59"/>
      <c r="H540" s="58"/>
    </row>
    <row r="541" spans="2:15" hidden="1" outlineLevel="2">
      <c r="B541" s="76" t="s">
        <v>2325</v>
      </c>
      <c r="C541" s="7" t="str">
        <f>C540</f>
        <v>Show</v>
      </c>
      <c r="D541" s="23" t="s">
        <v>117</v>
      </c>
      <c r="E541" s="13"/>
      <c r="G541" s="13"/>
    </row>
    <row r="542" spans="2:15" hidden="1" outlineLevel="2">
      <c r="B542" s="76" t="s">
        <v>2325</v>
      </c>
      <c r="C542" s="7" t="str">
        <f>C540</f>
        <v>Show</v>
      </c>
      <c r="D542" s="23"/>
      <c r="E542" s="13">
        <v>1.1000000000000001</v>
      </c>
      <c r="F542" s="11" t="s">
        <v>118</v>
      </c>
      <c r="G542" s="13"/>
    </row>
    <row r="543" spans="2:15" hidden="1" outlineLevel="2">
      <c r="B543" s="76" t="s">
        <v>2325</v>
      </c>
      <c r="C543" s="7" t="str">
        <f>C540</f>
        <v>Show</v>
      </c>
      <c r="D543" s="23"/>
      <c r="E543" s="13"/>
      <c r="F543" s="70" t="s">
        <v>119</v>
      </c>
      <c r="G543" s="18" t="s">
        <v>677</v>
      </c>
      <c r="I543" s="71"/>
      <c r="J543" s="27"/>
      <c r="K543" s="27"/>
      <c r="L543" s="27"/>
      <c r="M543" s="27"/>
      <c r="N543" s="27"/>
    </row>
    <row r="544" spans="2:15" hidden="1" outlineLevel="2">
      <c r="B544" s="76" t="s">
        <v>2325</v>
      </c>
      <c r="C544" s="7" t="str">
        <f>C540</f>
        <v>Show</v>
      </c>
      <c r="D544" s="23"/>
      <c r="E544" s="13"/>
      <c r="F544" s="70"/>
      <c r="G544" s="78" t="s">
        <v>121</v>
      </c>
      <c r="H544" s="79" t="s">
        <v>2301</v>
      </c>
    </row>
    <row r="545" spans="2:8" hidden="1" outlineLevel="2">
      <c r="B545" s="76" t="s">
        <v>2325</v>
      </c>
      <c r="C545" s="7" t="str">
        <f>C540</f>
        <v>Show</v>
      </c>
      <c r="D545" s="23"/>
      <c r="E545" s="13"/>
      <c r="F545" s="70"/>
      <c r="G545" s="78" t="s">
        <v>123</v>
      </c>
      <c r="H545" s="79" t="s">
        <v>2328</v>
      </c>
    </row>
    <row r="546" spans="2:8" hidden="1" outlineLevel="2">
      <c r="B546" s="76" t="s">
        <v>2325</v>
      </c>
      <c r="C546" s="7" t="str">
        <f>C540</f>
        <v>Show</v>
      </c>
      <c r="D546" s="23"/>
      <c r="E546" s="13"/>
      <c r="F546" s="70"/>
      <c r="G546" s="78" t="s">
        <v>126</v>
      </c>
      <c r="H546" s="79" t="s">
        <v>2329</v>
      </c>
    </row>
    <row r="547" spans="2:8" hidden="1" outlineLevel="2">
      <c r="B547" s="76" t="s">
        <v>2325</v>
      </c>
      <c r="C547" s="7" t="str">
        <f>C540</f>
        <v>Show</v>
      </c>
      <c r="D547" s="23"/>
      <c r="E547" s="13"/>
      <c r="F547" s="70"/>
      <c r="G547" s="78" t="s">
        <v>127</v>
      </c>
      <c r="H547" s="28" t="s">
        <v>2330</v>
      </c>
    </row>
    <row r="548" spans="2:8" hidden="1" outlineLevel="2">
      <c r="B548" s="76" t="s">
        <v>2325</v>
      </c>
      <c r="C548" s="7" t="str">
        <f>C540</f>
        <v>Show</v>
      </c>
      <c r="D548" s="23"/>
      <c r="E548" s="13"/>
      <c r="F548" s="70"/>
      <c r="G548" s="78" t="s">
        <v>140</v>
      </c>
      <c r="H548" s="79" t="s">
        <v>2311</v>
      </c>
    </row>
    <row r="549" spans="2:8" hidden="1" outlineLevel="2">
      <c r="B549" s="76" t="s">
        <v>2325</v>
      </c>
      <c r="C549" s="7" t="str">
        <f>C540</f>
        <v>Show</v>
      </c>
      <c r="D549" s="23"/>
      <c r="E549" s="13"/>
      <c r="F549" s="70"/>
      <c r="G549" s="78" t="s">
        <v>144</v>
      </c>
      <c r="H549" s="79" t="s">
        <v>2312</v>
      </c>
    </row>
    <row r="550" spans="2:8" hidden="1" outlineLevel="2">
      <c r="B550" s="76" t="s">
        <v>2325</v>
      </c>
      <c r="C550" s="7" t="str">
        <f>C540</f>
        <v>Show</v>
      </c>
      <c r="D550" s="23"/>
      <c r="E550" s="13"/>
      <c r="F550" s="70"/>
      <c r="G550" s="78" t="s">
        <v>353</v>
      </c>
      <c r="H550" s="79" t="s">
        <v>2313</v>
      </c>
    </row>
    <row r="551" spans="2:8" hidden="1" outlineLevel="2">
      <c r="B551" s="76" t="s">
        <v>2325</v>
      </c>
      <c r="C551" s="7" t="str">
        <f>C540</f>
        <v>Show</v>
      </c>
      <c r="D551" s="23"/>
      <c r="E551" s="13"/>
      <c r="F551" s="70"/>
      <c r="G551" s="78" t="s">
        <v>354</v>
      </c>
      <c r="H551" s="79" t="s">
        <v>2314</v>
      </c>
    </row>
    <row r="552" spans="2:8" hidden="1" outlineLevel="2">
      <c r="B552" s="76" t="s">
        <v>2325</v>
      </c>
      <c r="C552" s="7" t="str">
        <f>C540</f>
        <v>Show</v>
      </c>
      <c r="D552" s="23"/>
      <c r="E552" s="13"/>
      <c r="F552" s="70"/>
      <c r="G552" s="78" t="s">
        <v>355</v>
      </c>
      <c r="H552" s="79" t="s">
        <v>2315</v>
      </c>
    </row>
    <row r="553" spans="2:8" hidden="1" outlineLevel="2">
      <c r="B553" s="76" t="s">
        <v>2325</v>
      </c>
      <c r="C553" s="7" t="str">
        <f>C540</f>
        <v>Show</v>
      </c>
      <c r="D553" s="23"/>
      <c r="E553" s="13"/>
      <c r="F553" s="70"/>
      <c r="G553" s="78" t="s">
        <v>356</v>
      </c>
      <c r="H553" s="79" t="s">
        <v>2316</v>
      </c>
    </row>
    <row r="554" spans="2:8" hidden="1" outlineLevel="2">
      <c r="B554" s="76" t="s">
        <v>2325</v>
      </c>
      <c r="C554" s="7" t="str">
        <f>C540</f>
        <v>Show</v>
      </c>
      <c r="D554" s="23"/>
      <c r="E554" s="13"/>
      <c r="F554" s="70"/>
      <c r="G554" s="78" t="s">
        <v>542</v>
      </c>
      <c r="H554" s="79" t="s">
        <v>2317</v>
      </c>
    </row>
    <row r="555" spans="2:8" hidden="1" outlineLevel="2">
      <c r="B555" s="76" t="s">
        <v>2325</v>
      </c>
      <c r="C555" s="7" t="str">
        <f>C540</f>
        <v>Show</v>
      </c>
      <c r="D555" s="23"/>
      <c r="E555" s="13"/>
      <c r="F555" s="70"/>
      <c r="G555" s="78" t="s">
        <v>1401</v>
      </c>
      <c r="H555" s="79" t="s">
        <v>2331</v>
      </c>
    </row>
    <row r="556" spans="2:8" hidden="1" outlineLevel="2">
      <c r="B556" s="76" t="s">
        <v>2325</v>
      </c>
      <c r="C556" s="7" t="str">
        <f>C540</f>
        <v>Show</v>
      </c>
      <c r="D556" s="23"/>
      <c r="E556" s="13"/>
      <c r="F556" s="70"/>
      <c r="G556" s="78" t="s">
        <v>1445</v>
      </c>
      <c r="H556" s="79" t="s">
        <v>2332</v>
      </c>
    </row>
    <row r="557" spans="2:8" hidden="1" outlineLevel="2">
      <c r="B557" s="76" t="s">
        <v>2325</v>
      </c>
      <c r="C557" s="7" t="str">
        <f>C540</f>
        <v>Show</v>
      </c>
      <c r="D557" s="23"/>
      <c r="E557" s="13">
        <v>1.2</v>
      </c>
      <c r="F557" s="71" t="s">
        <v>131</v>
      </c>
      <c r="G557" s="78"/>
    </row>
    <row r="558" spans="2:8" hidden="1" outlineLevel="2">
      <c r="B558" s="76" t="s">
        <v>2325</v>
      </c>
      <c r="C558" s="7" t="str">
        <f>C540</f>
        <v>Show</v>
      </c>
      <c r="D558" s="23"/>
      <c r="E558" s="13"/>
      <c r="F558" s="70" t="s">
        <v>119</v>
      </c>
      <c r="G558" s="12" t="s">
        <v>3408</v>
      </c>
    </row>
    <row r="559" spans="2:8" hidden="1" outlineLevel="2">
      <c r="B559" s="76" t="s">
        <v>2325</v>
      </c>
      <c r="C559" s="7" t="str">
        <f>C540</f>
        <v>Show</v>
      </c>
      <c r="D559" s="23"/>
      <c r="E559" s="13"/>
      <c r="F559" s="70"/>
      <c r="G559" s="78" t="s">
        <v>121</v>
      </c>
      <c r="H559" s="75" t="s">
        <v>2326</v>
      </c>
    </row>
    <row r="560" spans="2:8" hidden="1" outlineLevel="2">
      <c r="B560" s="76" t="s">
        <v>2325</v>
      </c>
      <c r="C560" s="7" t="str">
        <f>C540</f>
        <v>Show</v>
      </c>
      <c r="D560" s="23"/>
      <c r="E560" s="13"/>
      <c r="F560" s="70" t="s">
        <v>125</v>
      </c>
      <c r="G560" s="12" t="s">
        <v>3409</v>
      </c>
    </row>
    <row r="561" spans="2:42" hidden="1" outlineLevel="2">
      <c r="B561" s="76" t="s">
        <v>2325</v>
      </c>
      <c r="C561" s="7" t="str">
        <f>C540</f>
        <v>Show</v>
      </c>
      <c r="D561" s="23"/>
      <c r="E561" s="13"/>
      <c r="F561" s="70"/>
      <c r="G561" s="78" t="s">
        <v>121</v>
      </c>
      <c r="H561" s="75" t="s">
        <v>2327</v>
      </c>
    </row>
    <row r="562" spans="2:42" hidden="1" outlineLevel="2">
      <c r="B562" s="76" t="s">
        <v>2325</v>
      </c>
      <c r="C562" s="7" t="str">
        <f>C540</f>
        <v>Show</v>
      </c>
      <c r="D562" s="23" t="s">
        <v>613</v>
      </c>
      <c r="E562" s="13"/>
      <c r="G562" s="13"/>
    </row>
    <row r="563" spans="2:42" hidden="1" outlineLevel="2">
      <c r="B563" s="76" t="s">
        <v>2325</v>
      </c>
      <c r="C563" s="7" t="str">
        <f>C540</f>
        <v>Show</v>
      </c>
      <c r="D563" s="23"/>
      <c r="E563" s="12" t="s">
        <v>679</v>
      </c>
      <c r="G563" s="13"/>
    </row>
    <row r="564" spans="2:42" hidden="1" outlineLevel="2">
      <c r="B564" s="76" t="s">
        <v>2325</v>
      </c>
      <c r="C564" s="7" t="str">
        <f>C540</f>
        <v>Show</v>
      </c>
      <c r="D564" s="23" t="s">
        <v>187</v>
      </c>
      <c r="E564" s="13"/>
      <c r="G564" s="13"/>
    </row>
    <row r="565" spans="2:42" hidden="1" outlineLevel="2">
      <c r="B565" s="76" t="s">
        <v>2325</v>
      </c>
      <c r="C565" s="7" t="str">
        <f>C540</f>
        <v>Show</v>
      </c>
      <c r="D565" s="23"/>
      <c r="E565" s="12" t="s">
        <v>679</v>
      </c>
      <c r="G565" s="13"/>
    </row>
    <row r="566" spans="2:42" hidden="1" outlineLevel="2">
      <c r="B566" s="76" t="s">
        <v>2325</v>
      </c>
      <c r="C566" s="7" t="str">
        <f>C540</f>
        <v>Show</v>
      </c>
      <c r="D566" s="23"/>
      <c r="E566" s="13"/>
      <c r="G566" s="78"/>
    </row>
    <row r="567" spans="2:42" collapsed="1">
      <c r="B567" s="77" t="s">
        <v>2333</v>
      </c>
      <c r="C567" s="7" t="str">
        <f>IF(OR('1. Criteria &amp; Spec Matrix'!C185="Show",'1. Criteria &amp; Spec Matrix'!E190='3. Dropdowns'!C193,'1. Criteria &amp; Spec Matrix'!E190='3. Dropdowns'!C194,'1. Criteria &amp; Spec Matrix'!E190='3. Dropdowns'!C195,'1. Criteria &amp; Spec Matrix'!E190='3. Dropdowns'!C196,'1. Criteria &amp; Spec Matrix'!E190=""),"Show","Hide")</f>
        <v>Show</v>
      </c>
      <c r="D567" s="55" t="s">
        <v>1591</v>
      </c>
      <c r="E567" s="56"/>
      <c r="F567" s="57" t="s">
        <v>1590</v>
      </c>
      <c r="G567" s="59"/>
      <c r="H567" s="54"/>
    </row>
    <row r="568" spans="2:42" hidden="1" outlineLevel="1">
      <c r="B568" s="77" t="s">
        <v>2333</v>
      </c>
      <c r="C568" s="7" t="str">
        <f>C567</f>
        <v>Show</v>
      </c>
      <c r="D568" s="23" t="s">
        <v>117</v>
      </c>
      <c r="E568" s="13"/>
      <c r="G568" s="13"/>
    </row>
    <row r="569" spans="2:42" hidden="1" outlineLevel="1">
      <c r="B569" s="77" t="s">
        <v>2333</v>
      </c>
      <c r="C569" s="7" t="str">
        <f>C567</f>
        <v>Show</v>
      </c>
      <c r="D569" s="23"/>
      <c r="E569" s="13">
        <v>1.1000000000000001</v>
      </c>
      <c r="F569" s="11" t="s">
        <v>118</v>
      </c>
      <c r="G569" s="13"/>
    </row>
    <row r="570" spans="2:42" hidden="1" outlineLevel="1">
      <c r="B570" s="77" t="s">
        <v>2333</v>
      </c>
      <c r="C570" s="7" t="str">
        <f>C567</f>
        <v>Show</v>
      </c>
      <c r="D570" s="23"/>
      <c r="E570" s="13"/>
      <c r="F570" s="70" t="s">
        <v>119</v>
      </c>
      <c r="G570" s="18" t="s">
        <v>677</v>
      </c>
      <c r="I570" s="27"/>
      <c r="J570" s="27"/>
      <c r="K570" s="28"/>
      <c r="L570" s="71"/>
      <c r="M570" s="71"/>
      <c r="N570" s="27"/>
      <c r="O570" s="27"/>
      <c r="P570" s="71"/>
      <c r="Q570" s="90"/>
      <c r="R570" s="90"/>
      <c r="S570" s="71"/>
      <c r="T570" s="83"/>
      <c r="U570" s="71"/>
      <c r="V570" s="71"/>
      <c r="W570" s="71"/>
      <c r="X570" s="71"/>
      <c r="Y570" s="27"/>
      <c r="Z570" s="83"/>
      <c r="AA570" s="71"/>
      <c r="AB570" s="71"/>
      <c r="AC570" s="87"/>
      <c r="AD570" s="27"/>
      <c r="AE570" s="28"/>
      <c r="AF570" s="28"/>
      <c r="AG570" s="27"/>
      <c r="AH570" s="28"/>
      <c r="AI570" s="27"/>
      <c r="AJ570" s="27"/>
      <c r="AK570" s="27"/>
      <c r="AL570" s="27"/>
      <c r="AM570" s="83"/>
      <c r="AN570" s="83"/>
      <c r="AO570" s="83"/>
      <c r="AP570" s="28"/>
    </row>
    <row r="571" spans="2:42" hidden="1" outlineLevel="1">
      <c r="B571" s="77" t="s">
        <v>2333</v>
      </c>
      <c r="C571" s="7" t="str">
        <f>C567</f>
        <v>Show</v>
      </c>
      <c r="D571" s="23"/>
      <c r="E571" s="13"/>
      <c r="F571" s="70"/>
      <c r="G571" s="78" t="s">
        <v>121</v>
      </c>
      <c r="H571" s="79" t="s">
        <v>2308</v>
      </c>
    </row>
    <row r="572" spans="2:42" hidden="1" outlineLevel="1">
      <c r="B572" s="77" t="s">
        <v>2333</v>
      </c>
      <c r="C572" s="7" t="str">
        <f>C567</f>
        <v>Show</v>
      </c>
      <c r="D572" s="23"/>
      <c r="E572" s="13"/>
      <c r="F572" s="70"/>
      <c r="G572" s="78" t="s">
        <v>123</v>
      </c>
      <c r="H572" s="79" t="s">
        <v>2344</v>
      </c>
    </row>
    <row r="573" spans="2:42" hidden="1" outlineLevel="1">
      <c r="B573" s="77" t="s">
        <v>2333</v>
      </c>
      <c r="C573" s="7" t="str">
        <f>C567</f>
        <v>Show</v>
      </c>
      <c r="D573" s="23"/>
      <c r="E573" s="13">
        <v>1.2</v>
      </c>
      <c r="F573" s="71" t="s">
        <v>131</v>
      </c>
      <c r="G573" s="78"/>
    </row>
    <row r="574" spans="2:42" hidden="1" outlineLevel="1">
      <c r="B574" s="77" t="s">
        <v>2341</v>
      </c>
      <c r="C574" s="7" t="str">
        <f>IF(OR('1. Criteria &amp; Spec Matrix'!C185="Show",'1. Criteria &amp; Spec Matrix'!C185=""),"Show","Hide")</f>
        <v>Show</v>
      </c>
      <c r="D574" s="23"/>
      <c r="E574" s="13"/>
      <c r="F574" s="70" t="s">
        <v>119</v>
      </c>
      <c r="G574" s="12" t="s">
        <v>3410</v>
      </c>
    </row>
    <row r="575" spans="2:42" hidden="1" outlineLevel="1">
      <c r="B575" s="77" t="s">
        <v>2341</v>
      </c>
      <c r="C575" s="7" t="str">
        <f>C574</f>
        <v>Show</v>
      </c>
      <c r="D575" s="23"/>
      <c r="E575" s="13"/>
      <c r="F575" s="70"/>
      <c r="G575" s="78" t="s">
        <v>121</v>
      </c>
      <c r="H575" s="75" t="s">
        <v>2335</v>
      </c>
    </row>
    <row r="576" spans="2:42" hidden="1" outlineLevel="1">
      <c r="B576" s="77" t="s">
        <v>2342</v>
      </c>
      <c r="C576" s="7" t="str">
        <f>IF(OR('1. Criteria &amp; Spec Matrix'!E190='3. Dropdowns'!C193,'1. Criteria &amp; Spec Matrix'!E190='3. Dropdowns'!C194,'1. Criteria &amp; Spec Matrix'!E190='3. Dropdowns'!C195,'1. Criteria &amp; Spec Matrix'!E190='3. Dropdowns'!C196,'1. Criteria &amp; Spec Matrix'!E190=""),"Show","Hide")</f>
        <v>Show</v>
      </c>
      <c r="D576" s="23"/>
      <c r="E576" s="13"/>
      <c r="F576" s="70" t="str">
        <f>IF(OR(C574="Show",C574=""),"B.","A.")</f>
        <v>B.</v>
      </c>
      <c r="G576" s="12" t="s">
        <v>3411</v>
      </c>
    </row>
    <row r="577" spans="2:15" hidden="1" outlineLevel="1">
      <c r="B577" s="77" t="s">
        <v>2342</v>
      </c>
      <c r="C577" s="7" t="str">
        <f>C576</f>
        <v>Show</v>
      </c>
      <c r="D577" s="23"/>
      <c r="E577" s="13"/>
      <c r="F577" s="70"/>
      <c r="G577" s="78" t="s">
        <v>121</v>
      </c>
      <c r="H577" s="75" t="s">
        <v>2336</v>
      </c>
    </row>
    <row r="578" spans="2:15" hidden="1" outlineLevel="1">
      <c r="B578" s="77" t="s">
        <v>2333</v>
      </c>
      <c r="C578" s="7" t="str">
        <f>C567</f>
        <v>Show</v>
      </c>
      <c r="D578" s="23" t="s">
        <v>613</v>
      </c>
      <c r="E578" s="13"/>
      <c r="G578" s="13"/>
    </row>
    <row r="579" spans="2:15" hidden="1" outlineLevel="1">
      <c r="B579" s="77" t="s">
        <v>2333</v>
      </c>
      <c r="C579" s="7" t="str">
        <f>C567</f>
        <v>Show</v>
      </c>
      <c r="D579" s="23"/>
      <c r="E579" s="12">
        <v>2.1</v>
      </c>
      <c r="F579" s="11" t="s">
        <v>161</v>
      </c>
      <c r="G579" s="13"/>
    </row>
    <row r="580" spans="2:15" hidden="1" outlineLevel="1">
      <c r="B580" s="77" t="s">
        <v>2341</v>
      </c>
      <c r="C580" s="7" t="str">
        <f>C574</f>
        <v>Show</v>
      </c>
      <c r="D580" s="23"/>
      <c r="E580" s="12"/>
      <c r="F580" s="70" t="s">
        <v>119</v>
      </c>
      <c r="G580" s="12" t="s">
        <v>3410</v>
      </c>
    </row>
    <row r="581" spans="2:15" hidden="1" outlineLevel="1">
      <c r="B581" s="77" t="s">
        <v>2341</v>
      </c>
      <c r="C581" s="7" t="str">
        <f>C574</f>
        <v>Show</v>
      </c>
      <c r="D581" s="23"/>
      <c r="E581" s="12"/>
      <c r="G581" s="30" t="s">
        <v>121</v>
      </c>
      <c r="H581" s="75" t="s">
        <v>2337</v>
      </c>
    </row>
    <row r="582" spans="2:15" hidden="1" outlineLevel="1">
      <c r="B582" s="77" t="s">
        <v>2342</v>
      </c>
      <c r="C582" s="7" t="str">
        <f>C576</f>
        <v>Show</v>
      </c>
      <c r="D582" s="23"/>
      <c r="E582" s="12"/>
      <c r="F582" s="70" t="str">
        <f>IF(OR(C580="Show",C580=""),"B.","A.")</f>
        <v>B.</v>
      </c>
      <c r="G582" s="12" t="s">
        <v>3411</v>
      </c>
    </row>
    <row r="583" spans="2:15" hidden="1" outlineLevel="1">
      <c r="B583" s="77" t="s">
        <v>2342</v>
      </c>
      <c r="C583" s="7" t="str">
        <f>C576</f>
        <v>Show</v>
      </c>
      <c r="D583" s="23"/>
      <c r="E583" s="12"/>
      <c r="G583" s="30" t="s">
        <v>121</v>
      </c>
      <c r="H583" s="75" t="s">
        <v>2338</v>
      </c>
    </row>
    <row r="584" spans="2:15" hidden="1" outlineLevel="1">
      <c r="B584" s="77" t="s">
        <v>2333</v>
      </c>
      <c r="C584" s="7" t="str">
        <f>C567</f>
        <v>Show</v>
      </c>
      <c r="D584" s="23" t="s">
        <v>187</v>
      </c>
      <c r="E584" s="13"/>
      <c r="G584" s="13"/>
    </row>
    <row r="585" spans="2:15" hidden="1" outlineLevel="1">
      <c r="B585" s="77" t="s">
        <v>2333</v>
      </c>
      <c r="C585" s="7" t="str">
        <f>C567</f>
        <v>Show</v>
      </c>
      <c r="D585" s="23"/>
      <c r="E585" s="13">
        <v>3.1</v>
      </c>
      <c r="F585" s="11" t="s">
        <v>616</v>
      </c>
      <c r="G585" s="13"/>
    </row>
    <row r="586" spans="2:15" hidden="1" outlineLevel="1">
      <c r="B586" s="77" t="s">
        <v>2341</v>
      </c>
      <c r="C586" s="7" t="str">
        <f>C574</f>
        <v>Show</v>
      </c>
      <c r="D586" s="23"/>
      <c r="E586" s="13"/>
      <c r="F586" s="70" t="s">
        <v>119</v>
      </c>
      <c r="G586" s="12" t="s">
        <v>3410</v>
      </c>
    </row>
    <row r="587" spans="2:15" ht="30" hidden="1" outlineLevel="1">
      <c r="B587" s="77" t="s">
        <v>2341</v>
      </c>
      <c r="C587" s="2" t="str">
        <f>C574</f>
        <v>Show</v>
      </c>
      <c r="D587" s="23"/>
      <c r="E587" s="13"/>
      <c r="G587" s="78" t="s">
        <v>121</v>
      </c>
      <c r="H587" s="75" t="s">
        <v>2339</v>
      </c>
      <c r="I587" s="79"/>
      <c r="J587" s="80"/>
      <c r="O587" s="80"/>
    </row>
    <row r="588" spans="2:15" hidden="1" outlineLevel="1">
      <c r="B588" s="77" t="s">
        <v>2342</v>
      </c>
      <c r="C588" s="2" t="str">
        <f>C576</f>
        <v>Show</v>
      </c>
      <c r="D588" s="23"/>
      <c r="E588" s="13"/>
      <c r="F588" s="70" t="str">
        <f>IF(OR(C586="Show",C586=""),"B.","A.")</f>
        <v>B.</v>
      </c>
      <c r="G588" s="12" t="s">
        <v>3411</v>
      </c>
      <c r="I588" s="79"/>
      <c r="J588" s="80"/>
      <c r="O588" s="80"/>
    </row>
    <row r="589" spans="2:15" hidden="1" outlineLevel="1">
      <c r="B589" s="77" t="s">
        <v>2342</v>
      </c>
      <c r="C589" s="2" t="str">
        <f>C576</f>
        <v>Show</v>
      </c>
      <c r="D589" s="23"/>
      <c r="E589" s="13"/>
      <c r="G589" s="78" t="s">
        <v>121</v>
      </c>
      <c r="H589" s="75" t="s">
        <v>2340</v>
      </c>
      <c r="I589" s="79"/>
      <c r="J589" s="80"/>
      <c r="O589" s="80"/>
    </row>
    <row r="590" spans="2:15" hidden="1" outlineLevel="1">
      <c r="B590" s="77" t="s">
        <v>2333</v>
      </c>
      <c r="C590" s="2" t="str">
        <f>C567</f>
        <v>Show</v>
      </c>
      <c r="D590" s="12"/>
      <c r="G590" s="12"/>
      <c r="I590" s="79"/>
      <c r="J590" s="80"/>
      <c r="O590" s="80"/>
    </row>
    <row r="591" spans="2:15" collapsed="1">
      <c r="B591" s="76"/>
      <c r="C591" s="7" t="s">
        <v>116</v>
      </c>
      <c r="D591" s="56" t="s">
        <v>230</v>
      </c>
      <c r="E591" s="56"/>
      <c r="F591" s="52" t="s">
        <v>568</v>
      </c>
      <c r="G591" s="59"/>
      <c r="H591" s="54"/>
    </row>
    <row r="592" spans="2:15" hidden="1" outlineLevel="1">
      <c r="B592" s="76"/>
      <c r="C592" s="7" t="s">
        <v>116</v>
      </c>
      <c r="D592" s="23" t="s">
        <v>117</v>
      </c>
      <c r="E592" s="13"/>
      <c r="G592" s="13"/>
    </row>
    <row r="593" spans="2:8" hidden="1" outlineLevel="1">
      <c r="B593" s="76"/>
      <c r="C593" s="7" t="s">
        <v>116</v>
      </c>
      <c r="D593" s="23"/>
      <c r="E593" s="13">
        <v>1.1000000000000001</v>
      </c>
      <c r="F593" s="11" t="s">
        <v>118</v>
      </c>
      <c r="G593" s="13"/>
    </row>
    <row r="594" spans="2:8" hidden="1" outlineLevel="1">
      <c r="B594" s="76"/>
      <c r="C594" s="7" t="s">
        <v>116</v>
      </c>
      <c r="D594" s="23"/>
      <c r="E594" s="13"/>
      <c r="F594" s="70" t="s">
        <v>119</v>
      </c>
      <c r="G594" s="18" t="s">
        <v>677</v>
      </c>
    </row>
    <row r="595" spans="2:8" hidden="1" outlineLevel="1">
      <c r="B595" s="76"/>
      <c r="C595" s="7" t="s">
        <v>116</v>
      </c>
      <c r="D595" s="23"/>
      <c r="E595" s="13"/>
      <c r="F595" s="70"/>
      <c r="G595" s="78" t="s">
        <v>121</v>
      </c>
      <c r="H595" s="79" t="s">
        <v>2344</v>
      </c>
    </row>
    <row r="596" spans="2:8" hidden="1" outlineLevel="1">
      <c r="B596" s="76"/>
      <c r="C596" s="7" t="s">
        <v>116</v>
      </c>
      <c r="D596" s="23"/>
      <c r="E596" s="13">
        <v>1.2</v>
      </c>
      <c r="F596" s="71" t="s">
        <v>131</v>
      </c>
      <c r="G596" s="78"/>
    </row>
    <row r="597" spans="2:8" hidden="1" outlineLevel="1">
      <c r="B597" s="76"/>
      <c r="C597" s="7" t="s">
        <v>116</v>
      </c>
      <c r="D597" s="23"/>
      <c r="E597" s="13"/>
      <c r="F597" s="70" t="s">
        <v>119</v>
      </c>
      <c r="G597" s="12" t="s">
        <v>3412</v>
      </c>
    </row>
    <row r="598" spans="2:8" hidden="1" outlineLevel="1">
      <c r="B598" s="76"/>
      <c r="C598" s="7" t="s">
        <v>116</v>
      </c>
      <c r="D598" s="23"/>
      <c r="E598" s="13"/>
      <c r="F598" s="70"/>
      <c r="G598" s="78" t="s">
        <v>121</v>
      </c>
      <c r="H598" s="75" t="s">
        <v>2345</v>
      </c>
    </row>
    <row r="599" spans="2:8" hidden="1" outlineLevel="1">
      <c r="B599" s="76"/>
      <c r="C599" s="7" t="str">
        <f>$D$5974</f>
        <v>Show</v>
      </c>
      <c r="D599" s="23"/>
      <c r="E599" s="13"/>
      <c r="F599" s="70" t="s">
        <v>125</v>
      </c>
      <c r="G599" s="109" t="s">
        <v>3407</v>
      </c>
    </row>
    <row r="600" spans="2:8" hidden="1" outlineLevel="1">
      <c r="B600" s="76"/>
      <c r="C600" s="7" t="str">
        <f>C599</f>
        <v>Show</v>
      </c>
      <c r="D600" s="23"/>
      <c r="E600" s="13"/>
      <c r="F600" s="70"/>
      <c r="G600" s="78" t="s">
        <v>121</v>
      </c>
      <c r="H600" s="75" t="s">
        <v>2323</v>
      </c>
    </row>
    <row r="601" spans="2:8" hidden="1" outlineLevel="1">
      <c r="B601" s="11" t="s">
        <v>2325</v>
      </c>
      <c r="C601" s="7" t="str">
        <f>IF('1. Criteria &amp; Spec Matrix'!C300="Show","Show","Hide")</f>
        <v>Show</v>
      </c>
      <c r="D601" s="23"/>
      <c r="E601" s="13"/>
      <c r="F601" s="104" t="str">
        <f>IF(C599="Show","C.","B.")</f>
        <v>C.</v>
      </c>
      <c r="G601" s="12" t="s">
        <v>3413</v>
      </c>
    </row>
    <row r="602" spans="2:8" hidden="1" outlineLevel="1">
      <c r="B602" s="11" t="s">
        <v>2325</v>
      </c>
      <c r="C602" s="7" t="str">
        <f>C601</f>
        <v>Show</v>
      </c>
      <c r="D602" s="23"/>
      <c r="E602" s="13"/>
      <c r="G602" s="30" t="s">
        <v>121</v>
      </c>
      <c r="H602" s="75" t="s">
        <v>2346</v>
      </c>
    </row>
    <row r="603" spans="2:8" hidden="1" outlineLevel="1">
      <c r="B603" s="76"/>
      <c r="C603" s="7" t="s">
        <v>116</v>
      </c>
      <c r="D603" s="23" t="s">
        <v>613</v>
      </c>
      <c r="E603" s="13"/>
      <c r="G603" s="13"/>
    </row>
    <row r="604" spans="2:8" hidden="1" outlineLevel="1">
      <c r="B604" s="76"/>
      <c r="C604" s="7" t="s">
        <v>116</v>
      </c>
      <c r="D604" s="23"/>
      <c r="E604" s="12" t="s">
        <v>679</v>
      </c>
      <c r="G604" s="13"/>
    </row>
    <row r="605" spans="2:8" hidden="1" outlineLevel="1">
      <c r="B605" s="76"/>
      <c r="C605" s="7" t="s">
        <v>116</v>
      </c>
      <c r="D605" s="23" t="s">
        <v>187</v>
      </c>
      <c r="E605" s="13"/>
      <c r="G605" s="13"/>
    </row>
    <row r="606" spans="2:8" hidden="1" outlineLevel="1">
      <c r="B606" s="76"/>
      <c r="C606" s="7" t="s">
        <v>116</v>
      </c>
      <c r="D606" s="23"/>
      <c r="E606" s="13">
        <v>3.1</v>
      </c>
      <c r="F606" s="11" t="s">
        <v>616</v>
      </c>
      <c r="G606" s="13"/>
    </row>
    <row r="607" spans="2:8" hidden="1" outlineLevel="1">
      <c r="B607" s="76"/>
      <c r="C607" s="7" t="s">
        <v>116</v>
      </c>
      <c r="D607" s="23"/>
      <c r="E607" s="13"/>
      <c r="F607" s="70" t="s">
        <v>119</v>
      </c>
      <c r="G607" s="12" t="s">
        <v>3412</v>
      </c>
    </row>
    <row r="608" spans="2:8" hidden="1" outlineLevel="1">
      <c r="B608" s="76"/>
      <c r="C608" s="7" t="s">
        <v>116</v>
      </c>
      <c r="D608" s="23"/>
      <c r="E608" s="13"/>
      <c r="G608" s="78" t="s">
        <v>121</v>
      </c>
      <c r="H608" s="75" t="s">
        <v>2347</v>
      </c>
    </row>
    <row r="609" spans="2:11" hidden="1" outlineLevel="1">
      <c r="B609" s="76"/>
      <c r="C609" s="7" t="str">
        <f>$F$5974</f>
        <v>Show</v>
      </c>
      <c r="D609" s="23"/>
      <c r="E609" s="13"/>
      <c r="F609" s="70" t="s">
        <v>125</v>
      </c>
      <c r="G609" s="109" t="s">
        <v>3407</v>
      </c>
    </row>
    <row r="610" spans="2:11" hidden="1" outlineLevel="1">
      <c r="B610" s="76"/>
      <c r="C610" s="7" t="str">
        <f>C609</f>
        <v>Show</v>
      </c>
      <c r="D610" s="23"/>
      <c r="E610" s="13"/>
      <c r="G610" s="78" t="s">
        <v>121</v>
      </c>
      <c r="H610" s="75" t="s">
        <v>2324</v>
      </c>
    </row>
    <row r="611" spans="2:11" hidden="1" outlineLevel="1">
      <c r="B611" s="11" t="s">
        <v>2325</v>
      </c>
      <c r="C611" s="2" t="str">
        <f>C601</f>
        <v>Show</v>
      </c>
      <c r="D611" s="23"/>
      <c r="E611" s="13"/>
      <c r="F611" s="104" t="str">
        <f>IF(C609="Show","C.","B.")</f>
        <v>C.</v>
      </c>
      <c r="G611" s="12" t="s">
        <v>3413</v>
      </c>
    </row>
    <row r="612" spans="2:11" hidden="1" outlineLevel="1">
      <c r="B612" s="11" t="s">
        <v>2325</v>
      </c>
      <c r="C612" s="2" t="str">
        <f>C601</f>
        <v>Show</v>
      </c>
      <c r="D612" s="23"/>
      <c r="E612" s="13"/>
      <c r="G612" s="78" t="s">
        <v>121</v>
      </c>
      <c r="H612" s="75" t="s">
        <v>2348</v>
      </c>
    </row>
    <row r="613" spans="2:11" hidden="1" outlineLevel="1">
      <c r="B613" s="76"/>
      <c r="C613" s="7" t="s">
        <v>116</v>
      </c>
      <c r="D613" s="23"/>
      <c r="E613" s="13"/>
      <c r="G613" s="78"/>
    </row>
    <row r="614" spans="2:11" collapsed="1">
      <c r="B614" s="76"/>
      <c r="C614" s="7" t="s">
        <v>116</v>
      </c>
      <c r="D614" s="93" t="s">
        <v>231</v>
      </c>
      <c r="E614" s="93"/>
      <c r="F614" s="94" t="s">
        <v>1218</v>
      </c>
      <c r="G614" s="95"/>
      <c r="H614" s="96"/>
    </row>
    <row r="615" spans="2:11" outlineLevel="1">
      <c r="B615" s="76"/>
      <c r="C615" s="7" t="s">
        <v>116</v>
      </c>
      <c r="D615" s="97" t="s">
        <v>117</v>
      </c>
      <c r="E615" s="98"/>
      <c r="F615" s="98"/>
      <c r="G615" s="98"/>
      <c r="H615" s="99"/>
      <c r="J615" s="12"/>
      <c r="K615" s="75"/>
    </row>
    <row r="616" spans="2:11" hidden="1" outlineLevel="2">
      <c r="B616" s="76"/>
      <c r="C616" s="7" t="s">
        <v>116</v>
      </c>
      <c r="D616" s="11">
        <v>1.1000000000000001</v>
      </c>
      <c r="E616" s="11" t="s">
        <v>118</v>
      </c>
      <c r="H616" s="103"/>
      <c r="J616" s="12"/>
      <c r="K616" s="75"/>
    </row>
    <row r="617" spans="2:11" hidden="1" outlineLevel="2">
      <c r="B617" s="76"/>
      <c r="C617" s="7" t="s">
        <v>116</v>
      </c>
      <c r="E617" s="104" t="s">
        <v>119</v>
      </c>
      <c r="F617" s="105" t="s">
        <v>120</v>
      </c>
      <c r="G617" s="105"/>
      <c r="J617" s="12"/>
      <c r="K617" s="75"/>
    </row>
    <row r="618" spans="2:11" ht="30" hidden="1" outlineLevel="2">
      <c r="B618" s="76"/>
      <c r="C618" s="7" t="s">
        <v>116</v>
      </c>
      <c r="F618" s="78" t="s">
        <v>121</v>
      </c>
      <c r="H618" s="28" t="s">
        <v>122</v>
      </c>
      <c r="J618" s="12"/>
      <c r="K618" s="75"/>
    </row>
    <row r="619" spans="2:11" hidden="1" outlineLevel="2">
      <c r="B619" s="76"/>
      <c r="C619" s="7" t="s">
        <v>116</v>
      </c>
      <c r="F619" s="78" t="s">
        <v>123</v>
      </c>
      <c r="H619" s="28" t="s">
        <v>124</v>
      </c>
      <c r="J619" s="80"/>
      <c r="K619" s="75"/>
    </row>
    <row r="620" spans="2:11" hidden="1" outlineLevel="2">
      <c r="B620" s="76"/>
      <c r="C620" s="7" t="s">
        <v>116</v>
      </c>
      <c r="E620" s="104" t="str">
        <f>IF(C617="Hide", "A.", "B.")</f>
        <v>B.</v>
      </c>
      <c r="F620" s="11" t="s">
        <v>608</v>
      </c>
      <c r="H620" s="106"/>
      <c r="J620" s="80"/>
      <c r="K620" s="75"/>
    </row>
    <row r="621" spans="2:11" hidden="1" outlineLevel="2">
      <c r="B621" s="76"/>
      <c r="C621" s="7" t="s">
        <v>116</v>
      </c>
      <c r="E621" s="104"/>
      <c r="F621" s="107" t="s">
        <v>882</v>
      </c>
      <c r="H621" s="106"/>
      <c r="J621" s="12"/>
      <c r="K621" s="75"/>
    </row>
    <row r="622" spans="2:11" hidden="1" outlineLevel="2">
      <c r="B622" s="76"/>
      <c r="C622" s="7" t="str">
        <f t="shared" ref="C622:C632" si="21">C13</f>
        <v>Always show</v>
      </c>
      <c r="F622" s="108"/>
      <c r="H622" s="28" t="s">
        <v>2306</v>
      </c>
      <c r="J622" s="12"/>
      <c r="K622" s="75"/>
    </row>
    <row r="623" spans="2:11" hidden="1" outlineLevel="2">
      <c r="B623" s="76"/>
      <c r="C623" s="7" t="str">
        <f t="shared" si="21"/>
        <v>Always show</v>
      </c>
      <c r="F623" s="108"/>
      <c r="H623" s="28" t="s">
        <v>2307</v>
      </c>
      <c r="J623" s="12"/>
      <c r="K623" s="75"/>
    </row>
    <row r="624" spans="2:11" hidden="1" outlineLevel="2">
      <c r="B624" s="76"/>
      <c r="C624" s="7" t="str">
        <f t="shared" si="21"/>
        <v>Always show</v>
      </c>
      <c r="F624" s="108"/>
      <c r="H624" s="28" t="s">
        <v>2414</v>
      </c>
      <c r="J624" s="80"/>
      <c r="K624" s="75"/>
    </row>
    <row r="625" spans="2:11" hidden="1" outlineLevel="2">
      <c r="B625" s="76"/>
      <c r="C625" s="7" t="str">
        <f t="shared" si="21"/>
        <v>Show</v>
      </c>
      <c r="F625" s="108"/>
      <c r="H625" s="28" t="s">
        <v>2308</v>
      </c>
      <c r="J625" s="12"/>
      <c r="K625" s="75"/>
    </row>
    <row r="626" spans="2:11" hidden="1" outlineLevel="2">
      <c r="B626" s="76"/>
      <c r="C626" s="7" t="str">
        <f t="shared" si="21"/>
        <v>Show</v>
      </c>
      <c r="F626" s="108"/>
      <c r="H626" s="28" t="s">
        <v>2415</v>
      </c>
      <c r="J626" s="12"/>
      <c r="K626" s="75"/>
    </row>
    <row r="627" spans="2:11" hidden="1" outlineLevel="2">
      <c r="B627" s="76"/>
      <c r="C627" s="7" t="str">
        <f t="shared" si="21"/>
        <v>Show</v>
      </c>
      <c r="F627" s="108"/>
      <c r="H627" s="28" t="s">
        <v>2416</v>
      </c>
      <c r="K627" s="75"/>
    </row>
    <row r="628" spans="2:11" hidden="1" outlineLevel="2">
      <c r="B628" s="76"/>
      <c r="C628" s="7" t="str">
        <f t="shared" si="21"/>
        <v>Always show</v>
      </c>
      <c r="F628" s="108"/>
      <c r="H628" s="28" t="s">
        <v>2417</v>
      </c>
      <c r="J628" s="80"/>
      <c r="K628" s="75"/>
    </row>
    <row r="629" spans="2:11" hidden="1" outlineLevel="2">
      <c r="B629" s="76"/>
      <c r="C629" s="7" t="str">
        <f t="shared" si="21"/>
        <v>Show</v>
      </c>
      <c r="F629" s="108"/>
      <c r="H629" s="28" t="s">
        <v>2418</v>
      </c>
      <c r="J629" s="80"/>
      <c r="K629" s="75"/>
    </row>
    <row r="630" spans="2:11" hidden="1" outlineLevel="2">
      <c r="B630" s="76"/>
      <c r="C630" s="7" t="str">
        <f t="shared" si="21"/>
        <v>Show</v>
      </c>
      <c r="F630" s="108"/>
      <c r="H630" s="28" t="s">
        <v>609</v>
      </c>
      <c r="J630" s="80"/>
      <c r="K630" s="75"/>
    </row>
    <row r="631" spans="2:11" hidden="1" outlineLevel="2">
      <c r="B631" s="76"/>
      <c r="C631" s="7" t="str">
        <f t="shared" si="21"/>
        <v>Show</v>
      </c>
      <c r="F631" s="108"/>
      <c r="H631" s="28" t="s">
        <v>2343</v>
      </c>
      <c r="J631" s="80"/>
      <c r="K631" s="75"/>
    </row>
    <row r="632" spans="2:11" hidden="1" outlineLevel="2">
      <c r="B632" s="76"/>
      <c r="C632" s="7" t="str">
        <f t="shared" si="21"/>
        <v>Always show</v>
      </c>
      <c r="F632" s="108"/>
      <c r="H632" s="28" t="s">
        <v>610</v>
      </c>
      <c r="J632" s="80"/>
      <c r="K632" s="75"/>
    </row>
    <row r="633" spans="2:11" hidden="1" outlineLevel="2">
      <c r="B633" s="76"/>
      <c r="C633" s="7" t="str">
        <f>C25</f>
        <v>Always show</v>
      </c>
      <c r="F633" s="108"/>
      <c r="H633" s="28" t="s">
        <v>2302</v>
      </c>
      <c r="J633" s="80"/>
      <c r="K633" s="75"/>
    </row>
    <row r="634" spans="2:11" hidden="1" outlineLevel="2">
      <c r="B634" s="76"/>
      <c r="C634" s="7" t="str">
        <f>C26</f>
        <v>Show</v>
      </c>
      <c r="F634" s="108"/>
      <c r="H634" s="28" t="s">
        <v>2328</v>
      </c>
      <c r="J634" s="80"/>
      <c r="K634" s="75"/>
    </row>
    <row r="635" spans="2:11" hidden="1" outlineLevel="2">
      <c r="B635" s="76"/>
      <c r="C635" s="7" t="str">
        <f>C27</f>
        <v>Show</v>
      </c>
      <c r="F635" s="108"/>
      <c r="H635" s="28" t="s">
        <v>2329</v>
      </c>
      <c r="J635" s="80"/>
      <c r="K635" s="75"/>
    </row>
    <row r="636" spans="2:11" hidden="1" outlineLevel="2">
      <c r="B636" s="76"/>
      <c r="C636" s="7" t="s">
        <v>116</v>
      </c>
      <c r="E636" s="104" t="s">
        <v>158</v>
      </c>
      <c r="F636" s="109" t="s">
        <v>611</v>
      </c>
      <c r="G636" s="110"/>
      <c r="K636" s="75"/>
    </row>
    <row r="637" spans="2:11" hidden="1" outlineLevel="2">
      <c r="B637" s="76"/>
      <c r="C637" s="7" t="s">
        <v>116</v>
      </c>
      <c r="E637" s="104"/>
      <c r="F637" s="107" t="s">
        <v>882</v>
      </c>
      <c r="G637" s="110"/>
    </row>
    <row r="638" spans="2:11" ht="30" hidden="1" outlineLevel="2">
      <c r="B638" s="76"/>
      <c r="C638" s="7" t="s">
        <v>116</v>
      </c>
      <c r="F638" s="78" t="s">
        <v>121</v>
      </c>
      <c r="H638" s="28" t="s">
        <v>617</v>
      </c>
    </row>
    <row r="639" spans="2:11" hidden="1" outlineLevel="2">
      <c r="B639" s="76"/>
      <c r="C639" s="7" t="s">
        <v>116</v>
      </c>
      <c r="D639" s="11">
        <v>1.2</v>
      </c>
      <c r="E639" s="11" t="s">
        <v>128</v>
      </c>
      <c r="H639" s="103"/>
    </row>
    <row r="640" spans="2:11" hidden="1" outlineLevel="2">
      <c r="B640" s="76"/>
      <c r="C640" s="7" t="s">
        <v>116</v>
      </c>
      <c r="E640" s="104" t="s">
        <v>119</v>
      </c>
      <c r="F640" s="105" t="s">
        <v>541</v>
      </c>
      <c r="G640" s="105"/>
    </row>
    <row r="641" spans="2:8" hidden="1" outlineLevel="2">
      <c r="B641" s="76"/>
      <c r="C641" s="7" t="s">
        <v>116</v>
      </c>
      <c r="E641" s="104" t="s">
        <v>125</v>
      </c>
      <c r="F641" s="105" t="s">
        <v>619</v>
      </c>
      <c r="G641" s="105"/>
    </row>
    <row r="642" spans="2:8" hidden="1" outlineLevel="2">
      <c r="B642" s="76"/>
      <c r="C642" s="7" t="s">
        <v>116</v>
      </c>
      <c r="D642" s="11">
        <v>1.3</v>
      </c>
      <c r="E642" s="11" t="s">
        <v>129</v>
      </c>
      <c r="H642" s="103"/>
    </row>
    <row r="643" spans="2:8" ht="45" hidden="1" outlineLevel="2">
      <c r="B643" s="76"/>
      <c r="C643" s="7" t="s">
        <v>116</v>
      </c>
      <c r="E643" s="70" t="s">
        <v>119</v>
      </c>
      <c r="G643" s="105"/>
      <c r="H643" s="106" t="s">
        <v>883</v>
      </c>
    </row>
    <row r="644" spans="2:8" ht="45" hidden="1" outlineLevel="2">
      <c r="B644" s="76"/>
      <c r="C644" s="7" t="s">
        <v>116</v>
      </c>
      <c r="E644" s="70" t="s">
        <v>125</v>
      </c>
      <c r="G644" s="105"/>
      <c r="H644" s="106" t="s">
        <v>2653</v>
      </c>
    </row>
    <row r="645" spans="2:8" ht="45" hidden="1" outlineLevel="2">
      <c r="B645" s="77" t="s">
        <v>748</v>
      </c>
      <c r="C645" s="7" t="str">
        <f>IF(OR('1. Criteria &amp; Spec Matrix'!D5="",'1. Criteria &amp; Spec Matrix'!D5='3. Dropdowns'!C7),"Show","Hide")</f>
        <v>Show</v>
      </c>
      <c r="E645" s="70" t="s">
        <v>158</v>
      </c>
      <c r="H645" s="75" t="s">
        <v>747</v>
      </c>
    </row>
    <row r="646" spans="2:8" ht="60" hidden="1" outlineLevel="2">
      <c r="B646" s="77" t="s">
        <v>748</v>
      </c>
      <c r="C646" s="2" t="str">
        <f>C645</f>
        <v>Show</v>
      </c>
      <c r="F646" s="78" t="s">
        <v>121</v>
      </c>
      <c r="G646" s="78"/>
      <c r="H646" s="28" t="s">
        <v>130</v>
      </c>
    </row>
    <row r="647" spans="2:8" hidden="1" outlineLevel="2">
      <c r="B647" s="76"/>
      <c r="C647" s="7" t="s">
        <v>116</v>
      </c>
      <c r="D647" s="11">
        <v>1.4</v>
      </c>
      <c r="E647" s="11" t="s">
        <v>131</v>
      </c>
      <c r="H647" s="103"/>
    </row>
    <row r="648" spans="2:8" hidden="1" outlineLevel="2">
      <c r="B648" s="76" t="s">
        <v>2457</v>
      </c>
      <c r="C648" s="7" t="str">
        <f>IF(COUNTIF(C649:C653,"Show")&gt;0,"Show","Hide")</f>
        <v>Show</v>
      </c>
      <c r="E648" s="104" t="s">
        <v>119</v>
      </c>
      <c r="F648" s="11" t="s">
        <v>132</v>
      </c>
      <c r="H648" s="106"/>
    </row>
    <row r="649" spans="2:8" hidden="1" outlineLevel="2">
      <c r="B649" s="76" t="s">
        <v>2458</v>
      </c>
      <c r="C649" s="7" t="str">
        <f>IF(COUNTIF(C650:C651,"Show")&gt;0,"Show","Hide")</f>
        <v>Show</v>
      </c>
      <c r="E649" s="104"/>
      <c r="F649" s="78" t="s">
        <v>121</v>
      </c>
      <c r="G649" s="105" t="s">
        <v>2440</v>
      </c>
    </row>
    <row r="650" spans="2:8" ht="30" hidden="1" outlineLevel="2">
      <c r="B650" s="12" t="s">
        <v>3011</v>
      </c>
      <c r="C650" s="2" t="str">
        <f>IF('1. Criteria &amp; Spec Matrix'!F5='3. Dropdowns'!C12,"Hide",
IF(AND('1. Criteria &amp; Spec Matrix'!E20='3. Dropdowns'!C42,'1. Criteria &amp; Spec Matrix'!D5='3. Dropdowns'!C8),"Show",
IF(OR('1. Criteria &amp; Spec Matrix'!D5="",'1. Criteria &amp; Spec Matrix'!E20=""),"Show","Hide")))</f>
        <v>Show</v>
      </c>
      <c r="E650" s="104"/>
      <c r="F650" s="78"/>
      <c r="G650" s="70" t="s">
        <v>133</v>
      </c>
      <c r="H650" s="106" t="s">
        <v>2708</v>
      </c>
    </row>
    <row r="651" spans="2:8" ht="30" hidden="1" outlineLevel="2">
      <c r="B651" s="12" t="s">
        <v>743</v>
      </c>
      <c r="C651" s="2" t="str">
        <f>IF(AND('1. Criteria &amp; Spec Matrix'!E21='3. Dropdowns'!C45,OR('1. Criteria &amp; Spec Matrix'!D5='3. Dropdowns'!C8,'1. Criteria &amp; Spec Matrix'!D5='3. Dropdowns'!C9)),"Show",IF(OR('1. Criteria &amp; Spec Matrix'!D5="",'1. Criteria &amp; Spec Matrix'!E21=""),"Show","Hide"))</f>
        <v>Show</v>
      </c>
      <c r="E651" s="104"/>
      <c r="F651" s="78"/>
      <c r="G651" s="70" t="str">
        <f>CHAR(97+COUNTIF($C$650:C650,"Show")) &amp; "."</f>
        <v>b.</v>
      </c>
      <c r="H651" s="106" t="s">
        <v>2709</v>
      </c>
    </row>
    <row r="652" spans="2:8" hidden="1" outlineLevel="2">
      <c r="B652" s="12" t="s">
        <v>2051</v>
      </c>
      <c r="C652" s="7" t="str">
        <f>IF(COUNTIF(C653:C653,"Show")&gt;0,"Show","Hide")</f>
        <v>Show</v>
      </c>
      <c r="E652" s="104"/>
      <c r="F652" s="78" t="str">
        <f>(1+COUNTIF(C649,"Show"))&amp;"."</f>
        <v>2.</v>
      </c>
      <c r="G652" s="71" t="s">
        <v>2044</v>
      </c>
      <c r="H652" s="106"/>
    </row>
    <row r="653" spans="2:8" hidden="1" outlineLevel="2">
      <c r="B653" s="12" t="s">
        <v>2059</v>
      </c>
      <c r="C653" s="9" t="str">
        <f>IF('1. Criteria &amp; Spec Matrix'!E30='3. Dropdowns'!C59,"Show",
IF(AND('1. Criteria &amp; Spec Matrix'!C30="Show",'1. Criteria &amp; Spec Matrix'!E30=""),"Show","Hide"))</f>
        <v>Show</v>
      </c>
      <c r="E653" s="104"/>
      <c r="F653" s="78"/>
      <c r="G653" s="70" t="s">
        <v>133</v>
      </c>
      <c r="H653" s="106" t="s">
        <v>2710</v>
      </c>
    </row>
    <row r="654" spans="2:8" hidden="1" outlineLevel="2">
      <c r="B654" s="76"/>
      <c r="C654" s="7" t="s">
        <v>116</v>
      </c>
      <c r="E654" s="70" t="str">
        <f>CHAR(65+COUNTIF(C648,"Show")) &amp;  "."</f>
        <v>B.</v>
      </c>
      <c r="F654" s="11" t="s">
        <v>136</v>
      </c>
      <c r="H654" s="106"/>
    </row>
    <row r="655" spans="2:8" hidden="1" outlineLevel="2">
      <c r="B655" s="76" t="s">
        <v>3012</v>
      </c>
      <c r="C655" s="7" t="str">
        <f>IF('1. Criteria &amp; Spec Matrix'!F5='3. Dropdowns'!C12,"Hide","Show")</f>
        <v>Show</v>
      </c>
      <c r="F655" s="78" t="s">
        <v>121</v>
      </c>
      <c r="G655" s="11" t="s">
        <v>2442</v>
      </c>
      <c r="H655" s="28"/>
    </row>
    <row r="656" spans="2:8" ht="30" hidden="1" outlineLevel="2">
      <c r="B656" s="12" t="s">
        <v>3013</v>
      </c>
      <c r="C656" s="2" t="str">
        <f>IF('1. Criteria &amp; Spec Matrix'!F5='3. Dropdowns'!C12,"Hide",
IF(OR('1. Criteria &amp; Spec Matrix'!E41="",'1. Criteria &amp; Spec Matrix'!E41='3. Dropdowns'!C67),"Show","Hide"))</f>
        <v>Show</v>
      </c>
      <c r="F656" s="78"/>
      <c r="G656" s="70" t="s">
        <v>133</v>
      </c>
      <c r="H656" s="28" t="s">
        <v>2711</v>
      </c>
    </row>
    <row r="657" spans="2:8" ht="60" hidden="1" outlineLevel="2">
      <c r="B657" s="12" t="s">
        <v>3014</v>
      </c>
      <c r="C657" s="2" t="str">
        <f>IF('1. Criteria &amp; Spec Matrix'!F5='3. Dropdowns'!C12,"Hide",
IF(OR('1. Criteria &amp; Spec Matrix'!E41="",'1. Criteria &amp; Spec Matrix'!E41='3. Dropdowns'!C68),"Show","Hide"))</f>
        <v>Show</v>
      </c>
      <c r="F657" s="78"/>
      <c r="G657" s="70" t="str">
        <f>CHAR(97+COUNTIF($C$656:C656,"Show")) &amp; "."</f>
        <v>b.</v>
      </c>
      <c r="H657" s="28" t="s">
        <v>2712</v>
      </c>
    </row>
    <row r="658" spans="2:8" hidden="1" outlineLevel="2">
      <c r="B658" s="76"/>
      <c r="C658" s="7" t="s">
        <v>116</v>
      </c>
      <c r="F658" s="78" t="s">
        <v>123</v>
      </c>
      <c r="G658" s="71" t="s">
        <v>2441</v>
      </c>
      <c r="H658" s="28"/>
    </row>
    <row r="659" spans="2:8" hidden="1" outlineLevel="2">
      <c r="B659" s="76"/>
      <c r="C659" s="7" t="s">
        <v>116</v>
      </c>
      <c r="F659" s="78"/>
      <c r="G659" s="70" t="s">
        <v>133</v>
      </c>
      <c r="H659" s="28" t="s">
        <v>2713</v>
      </c>
    </row>
    <row r="660" spans="2:8" hidden="1" outlineLevel="2">
      <c r="B660" s="76" t="s">
        <v>2423</v>
      </c>
      <c r="C660" s="7" t="str">
        <f>IF(COUNTIF(C661:C665,"Show")&gt;0,"Show","Hide")</f>
        <v>Show</v>
      </c>
      <c r="F660" s="78" t="s">
        <v>126</v>
      </c>
      <c r="G660" s="71" t="s">
        <v>2443</v>
      </c>
      <c r="H660" s="28"/>
    </row>
    <row r="661" spans="2:8" ht="30" hidden="1" outlineLevel="2">
      <c r="B661" s="76" t="s">
        <v>2423</v>
      </c>
      <c r="C661" s="7" t="str">
        <f>IF(OR('1. Criteria &amp; Spec Matrix'!E43="",'1. Criteria &amp; Spec Matrix'!E43='3. Dropdowns'!C72),"Show","Hide")</f>
        <v>Show</v>
      </c>
      <c r="F661" s="78"/>
      <c r="G661" s="70" t="s">
        <v>133</v>
      </c>
      <c r="H661" s="28" t="s">
        <v>137</v>
      </c>
    </row>
    <row r="662" spans="2:8" hidden="1" outlineLevel="2">
      <c r="B662" s="76" t="s">
        <v>2423</v>
      </c>
      <c r="C662" s="7" t="str">
        <f>C661</f>
        <v>Show</v>
      </c>
      <c r="F662" s="78"/>
      <c r="G662" s="70" t="str">
        <f>CHAR(97+COUNTIF($C$661:C661,"Show")) &amp; "."</f>
        <v>b.</v>
      </c>
      <c r="H662" s="28" t="s">
        <v>2714</v>
      </c>
    </row>
    <row r="663" spans="2:8" hidden="1" outlineLevel="2">
      <c r="B663" s="76" t="s">
        <v>2423</v>
      </c>
      <c r="C663" s="7" t="str">
        <f>C661</f>
        <v>Show</v>
      </c>
      <c r="F663" s="78"/>
      <c r="G663" s="70" t="str">
        <f>CHAR(97+COUNTIF($C$661:C662,"Show")) &amp; "."</f>
        <v>c.</v>
      </c>
      <c r="H663" s="28" t="s">
        <v>138</v>
      </c>
    </row>
    <row r="664" spans="2:8" ht="18" hidden="1" customHeight="1" outlineLevel="2">
      <c r="B664" s="76" t="s">
        <v>2426</v>
      </c>
      <c r="C664" s="7" t="str">
        <f>IF(OR('1. Criteria &amp; Spec Matrix'!E43="",'1. Criteria &amp; Spec Matrix'!E43='3. Dropdowns'!C70),"Show","Hide")</f>
        <v>Show</v>
      </c>
      <c r="F664" s="78"/>
      <c r="G664" s="70" t="str">
        <f>CHAR(97+COUNTIF($C$661:C663,"Show")) &amp; "."</f>
        <v>d.</v>
      </c>
      <c r="H664" s="28" t="s">
        <v>2715</v>
      </c>
    </row>
    <row r="665" spans="2:8" ht="30" hidden="1" outlineLevel="2">
      <c r="B665" s="76" t="s">
        <v>2427</v>
      </c>
      <c r="C665" s="7" t="str">
        <f>IF(OR('1. Criteria &amp; Spec Matrix'!E43="",'1. Criteria &amp; Spec Matrix'!E43='3. Dropdowns'!C71),"Show","Hide")</f>
        <v>Show</v>
      </c>
      <c r="F665" s="78"/>
      <c r="G665" s="70" t="str">
        <f>CHAR(97+COUNTIF($C$661:C664,"Show")) &amp; "."</f>
        <v>e.</v>
      </c>
      <c r="H665" s="28" t="s">
        <v>2716</v>
      </c>
    </row>
    <row r="666" spans="2:8" hidden="1" outlineLevel="2">
      <c r="B666" s="77" t="s">
        <v>3015</v>
      </c>
      <c r="C666" s="7" t="str">
        <f>C667</f>
        <v>Show</v>
      </c>
      <c r="F666" s="78" t="str">
        <f>(3+COUNTIF(C660,"Show"))&amp;"."</f>
        <v>4.</v>
      </c>
      <c r="G666" s="71" t="s">
        <v>2566</v>
      </c>
    </row>
    <row r="667" spans="2:8" ht="45" hidden="1" outlineLevel="2">
      <c r="B667" s="77" t="s">
        <v>3015</v>
      </c>
      <c r="C667" s="7" t="str">
        <f>IF('1. Criteria &amp; Spec Matrix'!F5='3. Dropdowns'!C12,"Hide",
IF('1. Criteria &amp; Spec Matrix'!D5='3. Dropdowns'!C7,"Show",IF('1. Criteria &amp; Spec Matrix'!E45='3. Dropdowns'!C78,"Hide","Show")))</f>
        <v>Show</v>
      </c>
      <c r="G667" s="70" t="s">
        <v>133</v>
      </c>
      <c r="H667" s="28" t="s">
        <v>2717</v>
      </c>
    </row>
    <row r="668" spans="2:8" hidden="1" outlineLevel="2">
      <c r="B668" s="12" t="s">
        <v>139</v>
      </c>
      <c r="C668" s="7" t="str">
        <f>IF(COUNTIF(C669:C671,"Show")&gt;0,"Show","Hide")</f>
        <v>Show</v>
      </c>
      <c r="F668" s="78" t="str">
        <f>(3+COUNTIF(C660,"Show")+COUNTIF(C666,"Show"))&amp;"."</f>
        <v>5.</v>
      </c>
      <c r="G668" s="71" t="s">
        <v>2272</v>
      </c>
      <c r="H668" s="28"/>
    </row>
    <row r="669" spans="2:8" hidden="1" outlineLevel="2">
      <c r="B669" s="12" t="s">
        <v>139</v>
      </c>
      <c r="C669" s="2" t="str">
        <f>IF('1. Criteria &amp; Spec Matrix'!E46='3. Dropdowns'!C82,"Hide","Show")</f>
        <v>Show</v>
      </c>
      <c r="G669" s="70" t="s">
        <v>133</v>
      </c>
      <c r="H669" s="28" t="s">
        <v>2718</v>
      </c>
    </row>
    <row r="670" spans="2:8" ht="45" hidden="1" outlineLevel="2">
      <c r="B670" s="12" t="s">
        <v>2419</v>
      </c>
      <c r="C670" s="2" t="str">
        <f>IF(OR('1. Criteria &amp; Spec Matrix'!E46="",'1. Criteria &amp; Spec Matrix'!E46='3. Dropdowns'!C85),"Show","Hide")</f>
        <v>Show</v>
      </c>
      <c r="G670" s="70" t="str">
        <f>CHAR(97+COUNTIF($C$669:C669,"Show")) &amp; "."</f>
        <v>b.</v>
      </c>
      <c r="H670" s="28" t="s">
        <v>141</v>
      </c>
    </row>
    <row r="671" spans="2:8" ht="45" hidden="1" outlineLevel="2">
      <c r="B671" s="12" t="s">
        <v>2420</v>
      </c>
      <c r="C671" s="2" t="str">
        <f>IF(OR('1. Criteria &amp; Spec Matrix'!E46="",'1. Criteria &amp; Spec Matrix'!E46='3. Dropdowns'!C84),"Show","Hide")</f>
        <v>Show</v>
      </c>
      <c r="G671" s="70" t="str">
        <f>CHAR(97+COUNTIF($C$669:C670,"Show")) &amp; "."</f>
        <v>c.</v>
      </c>
      <c r="H671" s="28" t="s">
        <v>142</v>
      </c>
    </row>
    <row r="672" spans="2:8" hidden="1" outlineLevel="2">
      <c r="B672" s="12" t="s">
        <v>143</v>
      </c>
      <c r="C672" s="7" t="str">
        <f>IF(COUNTIF(C673:C674,"Show")&gt;0,"Show","Hide")</f>
        <v>Show</v>
      </c>
      <c r="F672" s="78" t="str">
        <f>(3+COUNTIF(C660,"Show")+COUNTIF(C666,"Show")+COUNTIF(C668,"Show"))&amp;"."</f>
        <v>6.</v>
      </c>
      <c r="G672" s="71" t="s">
        <v>2444</v>
      </c>
      <c r="H672" s="28"/>
    </row>
    <row r="673" spans="2:8" ht="60" hidden="1" outlineLevel="2">
      <c r="B673" s="12" t="s">
        <v>143</v>
      </c>
      <c r="C673" s="2" t="str">
        <f>IF(OR('1. Criteria &amp; Spec Matrix'!E47='3. Dropdowns'!C86,'1. Criteria &amp; Spec Matrix'!E47='3. Dropdowns'!C87),"Hide","Show")</f>
        <v>Show</v>
      </c>
      <c r="G673" s="70" t="s">
        <v>133</v>
      </c>
      <c r="H673" s="28" t="s">
        <v>2719</v>
      </c>
    </row>
    <row r="674" spans="2:8" ht="30" hidden="1" outlineLevel="2">
      <c r="B674" s="12" t="s">
        <v>744</v>
      </c>
      <c r="C674" s="2" t="str">
        <f>IF(OR('1. Criteria &amp; Spec Matrix'!E47="",'1. Criteria &amp; Spec Matrix'!E47='3. Dropdowns'!C89),"Show","Hide")</f>
        <v>Show</v>
      </c>
      <c r="G674" s="70" t="str">
        <f>CHAR(97+COUNTIF($C$673:C673,"Show")) &amp; "."</f>
        <v>b.</v>
      </c>
      <c r="H674" s="28" t="s">
        <v>2720</v>
      </c>
    </row>
    <row r="675" spans="2:8" hidden="1" outlineLevel="2">
      <c r="B675" s="12" t="s">
        <v>2421</v>
      </c>
      <c r="C675" s="7" t="str">
        <f>IF(COUNTIF(C676:C677,"Show")&gt;0,"Show","Hide")</f>
        <v>Show</v>
      </c>
      <c r="F675" s="78" t="str">
        <f>(3+COUNTIF(C660,"Show")+COUNTIF(C666,"Show")+COUNTIF(C668,"Show")+COUNTIF(C672,"Show"))&amp;"."</f>
        <v>7.</v>
      </c>
      <c r="G675" s="71" t="s">
        <v>2445</v>
      </c>
      <c r="H675" s="28"/>
    </row>
    <row r="676" spans="2:8" ht="45" hidden="1" outlineLevel="2">
      <c r="B676" s="12" t="s">
        <v>145</v>
      </c>
      <c r="C676" s="2" t="str">
        <f>IF(OR('1. Criteria &amp; Spec Matrix'!E50="",'1. Criteria &amp; Spec Matrix'!E50='3. Dropdowns'!C92),"Show","Hide")</f>
        <v>Show</v>
      </c>
      <c r="F676" s="78"/>
      <c r="G676" s="70" t="s">
        <v>133</v>
      </c>
      <c r="H676" s="111" t="s">
        <v>146</v>
      </c>
    </row>
    <row r="677" spans="2:8" ht="30" hidden="1" outlineLevel="2">
      <c r="B677" s="12" t="s">
        <v>147</v>
      </c>
      <c r="C677" s="2" t="str">
        <f>IF('1. Criteria &amp; Spec Matrix'!E53='3. Dropdowns'!C92,"Show",
IF(AND('1. Criteria &amp; Spec Matrix'!C53="Show",'1. Criteria &amp; Spec Matrix'!E53=""),"Show","Hide"))</f>
        <v>Show</v>
      </c>
      <c r="F677" s="78"/>
      <c r="G677" s="70" t="str">
        <f>CHAR(97+COUNTIF($C$676:C676,"Show")) &amp; "."</f>
        <v>b.</v>
      </c>
      <c r="H677" s="28" t="s">
        <v>2721</v>
      </c>
    </row>
    <row r="678" spans="2:8" hidden="1" outlineLevel="2">
      <c r="B678" s="12" t="s">
        <v>148</v>
      </c>
      <c r="C678" s="7" t="str">
        <f>IF(COUNTIF(C679:C681,"Show")&gt;0,"Show","Hide")</f>
        <v>Show</v>
      </c>
      <c r="F678" s="78" t="str">
        <f>(3+COUNTIF(C660,"Show")+COUNTIF(C666,"Show")+COUNTIF(C668,"Show")+COUNTIF(C672,"Show")+COUNTIF(C675,"Show"))&amp;"."</f>
        <v>8.</v>
      </c>
      <c r="G678" s="71" t="s">
        <v>2446</v>
      </c>
      <c r="H678" s="28"/>
    </row>
    <row r="679" spans="2:8" ht="30" hidden="1" outlineLevel="2">
      <c r="B679" s="12" t="s">
        <v>689</v>
      </c>
      <c r="C679" s="2" t="str">
        <f>IF(OR('1. Criteria &amp; Spec Matrix'!E57="",'1. Criteria &amp; Spec Matrix'!E57='3. Dropdowns'!C94),"Show","Hide")</f>
        <v>Show</v>
      </c>
      <c r="F679" s="78"/>
      <c r="G679" s="70" t="s">
        <v>133</v>
      </c>
      <c r="H679" s="28" t="s">
        <v>2722</v>
      </c>
    </row>
    <row r="680" spans="2:8" hidden="1" outlineLevel="2">
      <c r="B680" s="12" t="s">
        <v>690</v>
      </c>
      <c r="C680" s="2" t="str">
        <f>IF(OR('1. Criteria &amp; Spec Matrix'!E61="",'1. Criteria &amp; Spec Matrix'!E61='3. Dropdowns'!C96),"Show","Hide")</f>
        <v>Show</v>
      </c>
      <c r="F680" s="78"/>
      <c r="G680" s="70" t="str">
        <f>CHAR(97+COUNTIF($C$679:C679,"Show")) &amp; "."</f>
        <v>b.</v>
      </c>
      <c r="H680" s="111" t="s">
        <v>2723</v>
      </c>
    </row>
    <row r="681" spans="2:8" hidden="1" outlineLevel="2">
      <c r="B681" s="12" t="s">
        <v>691</v>
      </c>
      <c r="C681" s="2" t="str">
        <f>IF(OR('1. Criteria &amp; Spec Matrix'!E62="",'1. Criteria &amp; Spec Matrix'!E62='3. Dropdowns'!C96),"Show","Hide")</f>
        <v>Show</v>
      </c>
      <c r="F681" s="78"/>
      <c r="G681" s="70" t="str">
        <f>CHAR(97+COUNTIF($C$679:C680,"Show")) &amp; "."</f>
        <v>c.</v>
      </c>
      <c r="H681" s="28" t="s">
        <v>2724</v>
      </c>
    </row>
    <row r="682" spans="2:8" hidden="1" outlineLevel="2">
      <c r="B682" s="12" t="s">
        <v>152</v>
      </c>
      <c r="C682" s="7" t="str">
        <f>IF(COUNTIF(C683:C709,"Show")&gt;0,"Show","Hide")</f>
        <v>Show</v>
      </c>
      <c r="F682" s="78" t="str">
        <f>(3+COUNTIF(C660,"Show")+COUNTIF(C666,"Show")+COUNTIF(C668,"Show")+COUNTIF(C672,"Show")+COUNTIF(C675,"Show")+COUNTIF(C678,"Show"))&amp;"."</f>
        <v>9.</v>
      </c>
      <c r="G682" s="71" t="s">
        <v>2447</v>
      </c>
    </row>
    <row r="683" spans="2:8" hidden="1" outlineLevel="2">
      <c r="B683" s="12" t="s">
        <v>154</v>
      </c>
      <c r="C683" s="2" t="str">
        <f>IF(AND('1. Criteria &amp; Spec Matrix'!C64="Show",OR('1. Criteria &amp; Spec Matrix'!E64='3. Dropdowns'!C98,'1. Criteria &amp; Spec Matrix'!E64='3. Dropdowns'!C99,'1. Criteria &amp; Spec Matrix'!E64='3. Dropdowns'!C100,'1. Criteria &amp; Spec Matrix'!E64='3. Dropdowns'!C101,'1. Criteria &amp; Spec Matrix'!E64='3. Dropdowns'!C102,'1. Criteria &amp; Spec Matrix'!E64='3. Dropdowns'!C103)),"Show",
IF(AND('1. Criteria &amp; Spec Matrix'!C64="Show",'1. Criteria &amp; Spec Matrix'!E64=""),"Show","Hide"))</f>
        <v>Show</v>
      </c>
      <c r="F683" s="78"/>
      <c r="G683" s="70" t="s">
        <v>133</v>
      </c>
      <c r="H683" s="28" t="s">
        <v>2726</v>
      </c>
    </row>
    <row r="684" spans="2:8" hidden="1" outlineLevel="2">
      <c r="B684" s="12" t="s">
        <v>698</v>
      </c>
      <c r="C684" s="2" t="str">
        <f>IF(AND('1. Criteria &amp; Spec Matrix'!C65="Show",OR('1. Criteria &amp; Spec Matrix'!E65='3. Dropdowns'!C105,'1. Criteria &amp; Spec Matrix'!E65='3. Dropdowns'!C106,'1. Criteria &amp; Spec Matrix'!E65='3. Dropdowns'!C107,'1. Criteria &amp; Spec Matrix'!E65='3. Dropdowns'!C108,'1. Criteria &amp; Spec Matrix'!E65='3. Dropdowns'!C109,'1. Criteria &amp; Spec Matrix'!E65='3. Dropdowns'!C110)),"Show",
IF(AND('1. Criteria &amp; Spec Matrix'!C65="Show",'1. Criteria &amp; Spec Matrix'!E65=""),"Show","Hide"))</f>
        <v>Show</v>
      </c>
      <c r="F684" s="78"/>
      <c r="G684" s="70" t="str">
        <f>CHAR(97+COUNTIF($C$683:C683,"Show")) &amp; "."</f>
        <v>b.</v>
      </c>
      <c r="H684" s="28" t="s">
        <v>2727</v>
      </c>
    </row>
    <row r="685" spans="2:8" hidden="1" outlineLevel="2">
      <c r="B685" s="12" t="s">
        <v>155</v>
      </c>
      <c r="C685" s="2" t="str">
        <f>C683</f>
        <v>Show</v>
      </c>
      <c r="F685" s="78"/>
      <c r="G685" s="70" t="str">
        <f>CHAR(97+COUNTIF($C$683:C684,"Show")) &amp; "."</f>
        <v>c.</v>
      </c>
      <c r="H685" s="28" t="s">
        <v>2725</v>
      </c>
    </row>
    <row r="686" spans="2:8" hidden="1" outlineLevel="2">
      <c r="B686" s="12" t="s">
        <v>1764</v>
      </c>
      <c r="C686" s="9" t="str">
        <f>IF('1. Criteria &amp; Spec Matrix'!E70='3. Dropdowns'!C116,"Show",
IF(AND('1. Criteria &amp; Spec Matrix'!C70="Show",'1. Criteria &amp; Spec Matrix'!E70=""),"Show","Hide"))</f>
        <v>Show</v>
      </c>
      <c r="F686" s="78"/>
      <c r="G686" s="70" t="str">
        <f>CHAR(97+COUNTIF($C$683:C685,"Show")) &amp; "."</f>
        <v>d.</v>
      </c>
      <c r="H686" s="28" t="s">
        <v>2728</v>
      </c>
    </row>
    <row r="687" spans="2:8" ht="45" hidden="1" outlineLevel="2">
      <c r="B687" s="12" t="s">
        <v>1775</v>
      </c>
      <c r="C687" s="9" t="str">
        <f>IF('1. Criteria &amp; Spec Matrix'!E74='3. Dropdowns'!C116,"Show",
IF(AND('1. Criteria &amp; Spec Matrix'!C74="Show",'1. Criteria &amp; Spec Matrix'!E74=""),"Show","Hide"))</f>
        <v>Show</v>
      </c>
      <c r="F687" s="78"/>
      <c r="G687" s="70" t="str">
        <f>CHAR(97+COUNTIF($C$683:C686,"Show")) &amp; "."</f>
        <v>e.</v>
      </c>
      <c r="H687" s="75" t="s">
        <v>2976</v>
      </c>
    </row>
    <row r="688" spans="2:8" hidden="1" outlineLevel="2">
      <c r="B688" s="12" t="s">
        <v>1814</v>
      </c>
      <c r="C688" s="9" t="str">
        <f>IF('1. Criteria &amp; Spec Matrix'!E76='3. Dropdowns'!C116,"Show",
IF(AND('1. Criteria &amp; Spec Matrix'!C76="Show",'1. Criteria &amp; Spec Matrix'!E76=""),"Show","Hide"))</f>
        <v>Show</v>
      </c>
      <c r="F688" s="78"/>
      <c r="G688" s="70" t="str">
        <f>CHAR(97+COUNTIF($C$683:C687,"Show")) &amp; "."</f>
        <v>f.</v>
      </c>
      <c r="H688" s="28" t="s">
        <v>1802</v>
      </c>
    </row>
    <row r="689" spans="2:8" hidden="1" outlineLevel="2">
      <c r="B689" s="12" t="s">
        <v>2435</v>
      </c>
      <c r="C689" s="9" t="str">
        <f>IF('1. Criteria &amp; Spec Matrix'!E77='3. Dropdowns'!C116,"Show",
IF(AND('1. Criteria &amp; Spec Matrix'!C77="Show",'1. Criteria &amp; Spec Matrix'!E77=""),"Show","Hide"))</f>
        <v>Show</v>
      </c>
      <c r="F689" s="78"/>
      <c r="G689" s="70" t="str">
        <f>CHAR(97+COUNTIF($C$683:C688,"Show")) &amp; "."</f>
        <v>g.</v>
      </c>
      <c r="H689" s="28" t="s">
        <v>1801</v>
      </c>
    </row>
    <row r="690" spans="2:8" hidden="1" outlineLevel="2">
      <c r="B690" s="12" t="s">
        <v>1815</v>
      </c>
      <c r="C690" s="9" t="str">
        <f>IF('1. Criteria &amp; Spec Matrix'!E78='3. Dropdowns'!C116,"Show",
IF(AND('1. Criteria &amp; Spec Matrix'!C78="Show",'1. Criteria &amp; Spec Matrix'!E78=""),"Show","Hide"))</f>
        <v>Show</v>
      </c>
      <c r="F690" s="78"/>
      <c r="G690" s="70" t="str">
        <f>CHAR(97+COUNTIF($C$683:C689,"Show")) &amp; "."</f>
        <v>h.</v>
      </c>
      <c r="H690" s="28" t="s">
        <v>1803</v>
      </c>
    </row>
    <row r="691" spans="2:8" hidden="1" outlineLevel="2">
      <c r="B691" s="12" t="s">
        <v>1816</v>
      </c>
      <c r="C691" s="9" t="str">
        <f>IF('1. Criteria &amp; Spec Matrix'!E79='3. Dropdowns'!C116,"Show",
IF(AND('1. Criteria &amp; Spec Matrix'!C79="Show",'1. Criteria &amp; Spec Matrix'!E79=""),"Show","Hide"))</f>
        <v>Show</v>
      </c>
      <c r="F691" s="78"/>
      <c r="G691" s="70" t="str">
        <f>CHAR(97+COUNTIF($C$683:C690,"Show")) &amp; "."</f>
        <v>i.</v>
      </c>
      <c r="H691" s="28" t="s">
        <v>1804</v>
      </c>
    </row>
    <row r="692" spans="2:8" hidden="1" outlineLevel="2">
      <c r="B692" s="12" t="s">
        <v>1817</v>
      </c>
      <c r="C692" s="9" t="str">
        <f>IF('1. Criteria &amp; Spec Matrix'!E80='3. Dropdowns'!C116,"Show",
IF(AND('1. Criteria &amp; Spec Matrix'!C80="Show",'1. Criteria &amp; Spec Matrix'!E80=""),"Show","Hide"))</f>
        <v>Show</v>
      </c>
      <c r="F692" s="78"/>
      <c r="G692" s="70" t="str">
        <f>CHAR(97+COUNTIF($C$683:C691,"Show")) &amp; "."</f>
        <v>j.</v>
      </c>
      <c r="H692" s="28" t="s">
        <v>1805</v>
      </c>
    </row>
    <row r="693" spans="2:8" hidden="1" outlineLevel="2">
      <c r="B693" s="12" t="s">
        <v>1818</v>
      </c>
      <c r="C693" s="9" t="str">
        <f>IF('1. Criteria &amp; Spec Matrix'!E81='3. Dropdowns'!C116,"Show",
IF(AND('1. Criteria &amp; Spec Matrix'!C81="Show",'1. Criteria &amp; Spec Matrix'!E81=""),"Show","Hide"))</f>
        <v>Show</v>
      </c>
      <c r="F693" s="78"/>
      <c r="G693" s="70" t="str">
        <f>CHAR(97+COUNTIF($C$683:C692,"Show")) &amp; "."</f>
        <v>k.</v>
      </c>
      <c r="H693" s="28" t="s">
        <v>1807</v>
      </c>
    </row>
    <row r="694" spans="2:8" hidden="1" outlineLevel="2">
      <c r="B694" s="12" t="s">
        <v>1819</v>
      </c>
      <c r="C694" s="9" t="str">
        <f>IF('1. Criteria &amp; Spec Matrix'!E82='3. Dropdowns'!C116,"Show",
IF(AND('1. Criteria &amp; Spec Matrix'!C82="Show",'1. Criteria &amp; Spec Matrix'!E82=""),"Show","Hide"))</f>
        <v>Show</v>
      </c>
      <c r="F694" s="78"/>
      <c r="G694" s="70" t="str">
        <f>CHAR(97+COUNTIF($C$683:C693,"Show")) &amp; "."</f>
        <v>l.</v>
      </c>
      <c r="H694" s="28" t="s">
        <v>1806</v>
      </c>
    </row>
    <row r="695" spans="2:8" hidden="1" outlineLevel="2">
      <c r="B695" s="12" t="s">
        <v>1820</v>
      </c>
      <c r="C695" s="9" t="str">
        <f>IF('1. Criteria &amp; Spec Matrix'!E85='3. Dropdowns'!C116,"Show",
IF(AND('1. Criteria &amp; Spec Matrix'!C85="Show",'1. Criteria &amp; Spec Matrix'!E85=""),"Show","Hide"))</f>
        <v>Show</v>
      </c>
      <c r="F695" s="78"/>
      <c r="G695" s="70" t="str">
        <f>CHAR(97+COUNTIF($C$683:C694,"Show")) &amp; "."</f>
        <v>m.</v>
      </c>
      <c r="H695" s="28" t="s">
        <v>2729</v>
      </c>
    </row>
    <row r="696" spans="2:8" hidden="1" outlineLevel="2">
      <c r="B696" s="12" t="s">
        <v>1821</v>
      </c>
      <c r="C696" s="9" t="str">
        <f>IF('1. Criteria &amp; Spec Matrix'!E88='3. Dropdowns'!C116,"Show",
IF(AND('1. Criteria &amp; Spec Matrix'!C88="Show",'1. Criteria &amp; Spec Matrix'!E88=""),"Show","Hide"))</f>
        <v>Show</v>
      </c>
      <c r="F696" s="78"/>
      <c r="G696" s="70" t="str">
        <f>CHAR(97+COUNTIF($C$683:C695,"Show")) &amp; "."</f>
        <v>n.</v>
      </c>
      <c r="H696" s="28" t="s">
        <v>2730</v>
      </c>
    </row>
    <row r="697" spans="2:8" hidden="1" outlineLevel="2">
      <c r="B697" s="12" t="s">
        <v>1822</v>
      </c>
      <c r="C697" s="9" t="str">
        <f>IF('1. Criteria &amp; Spec Matrix'!E94='3. Dropdowns'!C116,"Show",
IF(AND('1. Criteria &amp; Spec Matrix'!C94="Show",'1. Criteria &amp; Spec Matrix'!E94=""),"Show","Hide"))</f>
        <v>Show</v>
      </c>
      <c r="F697" s="78"/>
      <c r="G697" s="70" t="str">
        <f>CHAR(97+COUNTIF($C$683:C696,"Show")) &amp; "."</f>
        <v>o.</v>
      </c>
      <c r="H697" s="28" t="s">
        <v>1808</v>
      </c>
    </row>
    <row r="698" spans="2:8" hidden="1" outlineLevel="2">
      <c r="B698" s="12" t="s">
        <v>1823</v>
      </c>
      <c r="C698" s="9" t="str">
        <f>IF('1. Criteria &amp; Spec Matrix'!E97='3. Dropdowns'!C116,"Show",
IF(AND('1. Criteria &amp; Spec Matrix'!C97="Show",'1. Criteria &amp; Spec Matrix'!E97=""),"Show","Hide"))</f>
        <v>Show</v>
      </c>
      <c r="F698" s="78"/>
      <c r="G698" s="70" t="str">
        <f>CHAR(97+COUNTIF($C$683:C697,"Show")) &amp; "."</f>
        <v>p.</v>
      </c>
      <c r="H698" s="28" t="s">
        <v>1809</v>
      </c>
    </row>
    <row r="699" spans="2:8" hidden="1" outlineLevel="2">
      <c r="B699" s="12" t="s">
        <v>1824</v>
      </c>
      <c r="C699" s="9" t="str">
        <f>IF('1. Criteria &amp; Spec Matrix'!E98='3. Dropdowns'!C116,"Show",
IF(AND('1. Criteria &amp; Spec Matrix'!C98="Show",'1. Criteria &amp; Spec Matrix'!E98=""),"Show","Hide"))</f>
        <v>Show</v>
      </c>
      <c r="F699" s="78"/>
      <c r="G699" s="70" t="str">
        <f>CHAR(97+COUNTIF($C$683:C698,"Show")) &amp; "."</f>
        <v>q.</v>
      </c>
      <c r="H699" s="28" t="s">
        <v>1810</v>
      </c>
    </row>
    <row r="700" spans="2:8" hidden="1" outlineLevel="2">
      <c r="B700" s="12" t="s">
        <v>1825</v>
      </c>
      <c r="C700" s="9" t="str">
        <f>IF('1. Criteria &amp; Spec Matrix'!E99='3. Dropdowns'!C116,"Show",
IF(AND('1. Criteria &amp; Spec Matrix'!C99="Show",'1. Criteria &amp; Spec Matrix'!E99=""),"Show","Hide"))</f>
        <v>Show</v>
      </c>
      <c r="F700" s="78"/>
      <c r="G700" s="70" t="str">
        <f>CHAR(97+COUNTIF($C$683:C699,"Show")) &amp; "."</f>
        <v>r.</v>
      </c>
      <c r="H700" s="28" t="s">
        <v>2731</v>
      </c>
    </row>
    <row r="701" spans="2:8" hidden="1" outlineLevel="2">
      <c r="B701" s="12" t="s">
        <v>1826</v>
      </c>
      <c r="C701" s="9" t="str">
        <f>IF('1. Criteria &amp; Spec Matrix'!E102='3. Dropdowns'!C116,"Show",
IF(AND('1. Criteria &amp; Spec Matrix'!C102="Show",'1. Criteria &amp; Spec Matrix'!E102=""),"Show","Hide"))</f>
        <v>Show</v>
      </c>
      <c r="F701" s="78"/>
      <c r="G701" s="70" t="str">
        <f>CHAR(97+COUNTIF($C$683:C700,"Show")) &amp; "."</f>
        <v>s.</v>
      </c>
      <c r="H701" s="28" t="s">
        <v>1811</v>
      </c>
    </row>
    <row r="702" spans="2:8" ht="45" hidden="1" outlineLevel="2">
      <c r="B702" s="12" t="s">
        <v>1837</v>
      </c>
      <c r="C702" s="9" t="str">
        <f>IF('1. Criteria &amp; Spec Matrix'!E105='3. Dropdowns'!C116,"Show",
IF(AND('1. Criteria &amp; Spec Matrix'!C105="Show",'1. Criteria &amp; Spec Matrix'!E105=""),"Show","Hide"))</f>
        <v>Show</v>
      </c>
      <c r="F702" s="78"/>
      <c r="G702" s="70" t="str">
        <f>CHAR(97+COUNTIF($C$683:C701,"Show")) &amp; "."</f>
        <v>t.</v>
      </c>
      <c r="H702" s="28" t="s">
        <v>2732</v>
      </c>
    </row>
    <row r="703" spans="2:8" ht="60" hidden="1" outlineLevel="2">
      <c r="B703" s="12" t="s">
        <v>1838</v>
      </c>
      <c r="C703" s="9" t="str">
        <f>IF('1. Criteria &amp; Spec Matrix'!E106='3. Dropdowns'!C116,"Show",
IF(AND('1. Criteria &amp; Spec Matrix'!C106="Show",'1. Criteria &amp; Spec Matrix'!E106=""),"Show","Hide"))</f>
        <v>Show</v>
      </c>
      <c r="F703" s="78"/>
      <c r="G703" s="70" t="str">
        <f>CHAR(97+COUNTIF($C$683:C702,"Show")) &amp; "."</f>
        <v>u.</v>
      </c>
      <c r="H703" s="28" t="s">
        <v>2733</v>
      </c>
    </row>
    <row r="704" spans="2:8" hidden="1" outlineLevel="2">
      <c r="B704" s="12" t="s">
        <v>1827</v>
      </c>
      <c r="C704" s="9" t="str">
        <f>IF('1. Criteria &amp; Spec Matrix'!E113='3. Dropdowns'!C116,"Show",
IF(AND('1. Criteria &amp; Spec Matrix'!C113="Show",'1. Criteria &amp; Spec Matrix'!E113=""),"Show","Hide"))</f>
        <v>Show</v>
      </c>
      <c r="F704" s="78"/>
      <c r="G704" s="70" t="str">
        <f>CHAR(97+COUNTIF($C$683:C703,"Show")) &amp; "."</f>
        <v>v.</v>
      </c>
      <c r="H704" s="111" t="s">
        <v>1812</v>
      </c>
    </row>
    <row r="705" spans="2:8" hidden="1" outlineLevel="2">
      <c r="B705" s="12" t="s">
        <v>1828</v>
      </c>
      <c r="C705" s="9" t="str">
        <f>IF('1. Criteria &amp; Spec Matrix'!E114='3. Dropdowns'!C116,"Show",
IF(AND('1. Criteria &amp; Spec Matrix'!C114="Show",'1. Criteria &amp; Spec Matrix'!E114=""),"Show","Hide"))</f>
        <v>Show</v>
      </c>
      <c r="F705" s="78"/>
      <c r="G705" s="70" t="str">
        <f>CHAR(97+COUNTIF($C$683:C704,"Show")) &amp; "."</f>
        <v>w.</v>
      </c>
      <c r="H705" s="111" t="s">
        <v>2734</v>
      </c>
    </row>
    <row r="706" spans="2:8" ht="30" hidden="1" outlineLevel="2">
      <c r="B706" s="12" t="s">
        <v>1829</v>
      </c>
      <c r="C706" s="9" t="str">
        <f>IF('1. Criteria &amp; Spec Matrix'!E115='3. Dropdowns'!C116,"Show",
IF(AND('1. Criteria &amp; Spec Matrix'!C115="Show",'1. Criteria &amp; Spec Matrix'!E115=""),"Show","Hide"))</f>
        <v>Show</v>
      </c>
      <c r="F706" s="78"/>
      <c r="G706" s="70" t="str">
        <f>CHAR(97+COUNTIF($C$683:C705,"Show")) &amp; "."</f>
        <v>x.</v>
      </c>
      <c r="H706" s="111" t="s">
        <v>2735</v>
      </c>
    </row>
    <row r="707" spans="2:8" hidden="1" outlineLevel="2">
      <c r="B707" s="12" t="s">
        <v>1830</v>
      </c>
      <c r="C707" s="9" t="str">
        <f>IF('1. Criteria &amp; Spec Matrix'!E119='3. Dropdowns'!C116,"Show",
IF(AND('1. Criteria &amp; Spec Matrix'!C119="Show",'1. Criteria &amp; Spec Matrix'!E119=""),"Show","Hide"))</f>
        <v>Show</v>
      </c>
      <c r="F707" s="78"/>
      <c r="G707" s="70" t="str">
        <f>CHAR(97+COUNTIF($C$683:C706,"Show")) &amp; "."</f>
        <v>y.</v>
      </c>
      <c r="H707" s="111" t="s">
        <v>1813</v>
      </c>
    </row>
    <row r="708" spans="2:8" ht="30" hidden="1" outlineLevel="2">
      <c r="B708" s="12" t="s">
        <v>1835</v>
      </c>
      <c r="C708" s="9" t="str">
        <f>IF('1. Criteria &amp; Spec Matrix'!E130='3. Dropdowns'!C116,"Show",
IF(AND('1. Criteria &amp; Spec Matrix'!C130="Show",'1. Criteria &amp; Spec Matrix'!E130=""),"Show","Hide"))</f>
        <v>Show</v>
      </c>
      <c r="F708" s="78"/>
      <c r="G708" s="70" t="str">
        <f>CHAR(97+COUNTIF($C$683:C707,"Show")) &amp; "."</f>
        <v>z.</v>
      </c>
      <c r="H708" s="111" t="s">
        <v>2736</v>
      </c>
    </row>
    <row r="709" spans="2:8" hidden="1" outlineLevel="2">
      <c r="B709" s="12" t="s">
        <v>1836</v>
      </c>
      <c r="C709" s="9" t="str">
        <f>IF('1. Criteria &amp; Spec Matrix'!E137='3. Dropdowns'!C116,"Show",
IF(AND('1. Criteria &amp; Spec Matrix'!C137="Show",'1. Criteria &amp; Spec Matrix'!E137=""),"Show","Hide"))</f>
        <v>Show</v>
      </c>
      <c r="F709" s="78"/>
      <c r="G709" s="70" t="str">
        <f>IF(COUNTIF($C$683:C708,"Show")&lt;25,(CHAR(97+COUNTIF($C$683:C708,"Show")) &amp; "."),(CHAR(71+COUNTIF($C$683:C708,"Show")) &amp; (CHAR(71+COUNTIF($C$683:C708,"Show")) &amp; ".")))</f>
        <v>aa.</v>
      </c>
      <c r="H709" s="111" t="s">
        <v>2737</v>
      </c>
    </row>
    <row r="710" spans="2:8" hidden="1" outlineLevel="2">
      <c r="B710" s="12" t="s">
        <v>3077</v>
      </c>
      <c r="C710" s="9" t="str">
        <f>IF('1. Criteria &amp; Spec Matrix'!E138='3. Dropdowns'!C116,"Show",
IF(AND('1. Criteria &amp; Spec Matrix'!C138="Show",'1. Criteria &amp; Spec Matrix'!E138=""),"Show","Hide"))</f>
        <v>Show</v>
      </c>
      <c r="F710" s="78"/>
      <c r="G710" s="70" t="str">
        <f>IF(COUNTIF($C$683:C709,"Show")&lt;25,(CHAR(97+COUNTIF($C$683:C709,"Show")) &amp; "."),(CHAR(71+COUNTIF($C$683:C709,"Show")) &amp; (CHAR(71+COUNTIF($C$683:C709,"Show")) &amp; ".")))</f>
        <v>bb.</v>
      </c>
      <c r="H710" s="111" t="s">
        <v>2992</v>
      </c>
    </row>
    <row r="711" spans="2:8" hidden="1" outlineLevel="2">
      <c r="B711" s="12" t="s">
        <v>3078</v>
      </c>
      <c r="C711" s="9" t="str">
        <f>IF('1. Criteria &amp; Spec Matrix'!E136='3. Dropdowns'!C116,"Show",
IF(AND('1. Criteria &amp; Spec Matrix'!C136="Show",'1. Criteria &amp; Spec Matrix'!E136=""),"Show","Hide"))</f>
        <v>Show</v>
      </c>
      <c r="F711" s="78"/>
      <c r="G711" s="70" t="str">
        <f>IF(COUNTIF($C$683:C710,"Show")&lt;25,(CHAR(97+COUNTIF($C$683:C710,"Show")) &amp; "."),(CHAR(71+COUNTIF($C$683:C710,"Show")) &amp; (CHAR(71+COUNTIF($C$683:C710,"Show")) &amp; ".")))</f>
        <v>cc.</v>
      </c>
      <c r="H711" s="111" t="s">
        <v>2993</v>
      </c>
    </row>
    <row r="712" spans="2:8" hidden="1" outlineLevel="2">
      <c r="B712" s="12" t="s">
        <v>3079</v>
      </c>
      <c r="C712" s="9" t="str">
        <f>IF('1. Criteria &amp; Spec Matrix'!E139='3. Dropdowns'!C116,"Show",
IF(AND('1. Criteria &amp; Spec Matrix'!C139="Show",'1. Criteria &amp; Spec Matrix'!E139=""),"Show","Hide"))</f>
        <v>Show</v>
      </c>
      <c r="F712" s="78"/>
      <c r="G712" s="70" t="str">
        <f>IF(COUNTIF($C$683:C711,"Show")&lt;25,(CHAR(97+COUNTIF($C$683:C711,"Show")) &amp; "."),(CHAR(71+COUNTIF($C$683:C711,"Show")) &amp; (CHAR(71+COUNTIF($C$683:C711,"Show")) &amp; ".")))</f>
        <v>dd.</v>
      </c>
      <c r="H712" s="111" t="s">
        <v>2994</v>
      </c>
    </row>
    <row r="713" spans="2:8" hidden="1" outlineLevel="2">
      <c r="B713" s="12" t="s">
        <v>716</v>
      </c>
      <c r="C713" s="7" t="str">
        <f>IF(COUNTIF(C714:C725,"Show")&gt;0,"Show","Hide")</f>
        <v>Show</v>
      </c>
      <c r="F713" s="78" t="str">
        <f>(3+COUNTIF(C660,"Show")+COUNTIF(C666,"Show")+COUNTIF(C668,"Show")+COUNTIF(C672,"Show")+COUNTIF(C675,"Show")+COUNTIF(C678,"Show")+COUNTIF(C682,"Show"))&amp;"."</f>
        <v>10.</v>
      </c>
      <c r="G713" s="71" t="s">
        <v>2448</v>
      </c>
      <c r="H713" s="28"/>
    </row>
    <row r="714" spans="2:8" ht="30" hidden="1" outlineLevel="2">
      <c r="B714" s="12" t="s">
        <v>717</v>
      </c>
      <c r="C714" s="2" t="str">
        <f>IF('1. Criteria &amp; Spec Matrix'!E141='3. Dropdowns'!C118,"Show",
IF(AND('1. Criteria &amp; Spec Matrix'!C141="Show",'1. Criteria &amp; Spec Matrix'!E141=""),"Show","Hide"))</f>
        <v>Show</v>
      </c>
      <c r="F714" s="78"/>
      <c r="G714" s="70" t="s">
        <v>133</v>
      </c>
      <c r="H714" s="28" t="s">
        <v>2990</v>
      </c>
    </row>
    <row r="715" spans="2:8" hidden="1" outlineLevel="2">
      <c r="B715" s="12" t="s">
        <v>1968</v>
      </c>
      <c r="C715" s="9" t="str">
        <f>IF('1. Criteria &amp; Spec Matrix'!E145='3. Dropdowns'!C116,"Show",
IF(AND('1. Criteria &amp; Spec Matrix'!C145="Show",'1. Criteria &amp; Spec Matrix'!E145=""),"Show","Hide"))</f>
        <v>Show</v>
      </c>
      <c r="F715" s="78"/>
      <c r="G715" s="70" t="str">
        <f>CHAR(97+COUNTIF($C$714:C714,"Show")) &amp; "."</f>
        <v>b.</v>
      </c>
      <c r="H715" s="28" t="s">
        <v>1966</v>
      </c>
    </row>
    <row r="716" spans="2:8" hidden="1" outlineLevel="2">
      <c r="B716" s="12" t="s">
        <v>3080</v>
      </c>
      <c r="C716" s="9" t="str">
        <f>IF('1. Criteria &amp; Spec Matrix'!E144='3. Dropdowns'!C116,"Show",
IF(AND('1. Criteria &amp; Spec Matrix'!C144="Show",'1. Criteria &amp; Spec Matrix'!E144=""),"Show","Hide"))</f>
        <v>Show</v>
      </c>
      <c r="F716" s="78"/>
      <c r="G716" s="70" t="str">
        <f>CHAR(97+COUNTIF($C$714:C715,"Show")) &amp; "."</f>
        <v>c.</v>
      </c>
      <c r="H716" s="28" t="s">
        <v>2977</v>
      </c>
    </row>
    <row r="717" spans="2:8" hidden="1" outlineLevel="2">
      <c r="B717" s="12" t="s">
        <v>1969</v>
      </c>
      <c r="C717" s="9" t="str">
        <f>IF('1. Criteria &amp; Spec Matrix'!E146='3. Dropdowns'!C116,"Show",
IF(AND('1. Criteria &amp; Spec Matrix'!C146="Show",'1. Criteria &amp; Spec Matrix'!E146=""),"Show","Hide"))</f>
        <v>Show</v>
      </c>
      <c r="F717" s="78"/>
      <c r="G717" s="70" t="str">
        <f>CHAR(97+COUNTIF($C$714:C716,"Show")) &amp; "."</f>
        <v>d.</v>
      </c>
      <c r="H717" s="28" t="s">
        <v>2978</v>
      </c>
    </row>
    <row r="718" spans="2:8" hidden="1" outlineLevel="2">
      <c r="B718" s="12" t="s">
        <v>1970</v>
      </c>
      <c r="C718" s="9" t="str">
        <f>IF('1. Criteria &amp; Spec Matrix'!E147='3. Dropdowns'!C116,"Show",
IF(AND('1. Criteria &amp; Spec Matrix'!C147="Show",'1. Criteria &amp; Spec Matrix'!E147=""),"Show","Hide"))</f>
        <v>Show</v>
      </c>
      <c r="F718" s="78"/>
      <c r="G718" s="70" t="str">
        <f>CHAR(97+COUNTIF($C$714:C717,"Show")) &amp; "."</f>
        <v>e.</v>
      </c>
      <c r="H718" s="150" t="s">
        <v>2738</v>
      </c>
    </row>
    <row r="719" spans="2:8" hidden="1" outlineLevel="2">
      <c r="B719" s="12" t="s">
        <v>1971</v>
      </c>
      <c r="C719" s="9" t="str">
        <f>IF('1. Criteria &amp; Spec Matrix'!E149='3. Dropdowns'!C116,"Show",
IF(AND('1. Criteria &amp; Spec Matrix'!C149="Show",'1. Criteria &amp; Spec Matrix'!E149=""),"Show","Hide"))</f>
        <v>Show</v>
      </c>
      <c r="F719" s="78"/>
      <c r="G719" s="70" t="str">
        <f>CHAR(97+COUNTIF($C$714:C718,"Show")) &amp; "."</f>
        <v>f.</v>
      </c>
      <c r="H719" s="28" t="s">
        <v>1967</v>
      </c>
    </row>
    <row r="720" spans="2:8" hidden="1" outlineLevel="2">
      <c r="B720" s="12" t="s">
        <v>3081</v>
      </c>
      <c r="C720" s="9" t="str">
        <f>IF('1. Criteria &amp; Spec Matrix'!E151='3. Dropdowns'!C116,"Show",
IF(AND('1. Criteria &amp; Spec Matrix'!C151="Show",'1. Criteria &amp; Spec Matrix'!E151=""),"Show","Hide"))</f>
        <v>Show</v>
      </c>
      <c r="F720" s="78"/>
      <c r="G720" s="70" t="str">
        <f>CHAR(97+COUNTIF($C$714:C719,"Show")) &amp; "."</f>
        <v>g.</v>
      </c>
      <c r="H720" s="28" t="s">
        <v>2979</v>
      </c>
    </row>
    <row r="721" spans="2:8" ht="45" hidden="1" outlineLevel="2">
      <c r="B721" s="12" t="s">
        <v>1974</v>
      </c>
      <c r="C721" s="9" t="str">
        <f>IF('1. Criteria &amp; Spec Matrix'!E158='3. Dropdowns'!C116,"Show",
IF(AND('1. Criteria &amp; Spec Matrix'!C158="Show",'1. Criteria &amp; Spec Matrix'!E158=""),"Show","Hide"))</f>
        <v>Show</v>
      </c>
      <c r="F721" s="78"/>
      <c r="G721" s="70" t="str">
        <f>CHAR(97+COUNTIF($C$714:C720,"Show")) &amp; "."</f>
        <v>h.</v>
      </c>
      <c r="H721" s="151" t="s">
        <v>2980</v>
      </c>
    </row>
    <row r="722" spans="2:8" hidden="1" outlineLevel="2">
      <c r="B722" s="12" t="s">
        <v>1975</v>
      </c>
      <c r="C722" s="9" t="str">
        <f>IF('1. Criteria &amp; Spec Matrix'!E159='3. Dropdowns'!C116,"Show",
IF(AND('1. Criteria &amp; Spec Matrix'!C159="Show",'1. Criteria &amp; Spec Matrix'!E159=""),"Show","Hide"))</f>
        <v>Show</v>
      </c>
      <c r="F722" s="78"/>
      <c r="G722" s="70" t="str">
        <f>CHAR(97+COUNTIF($C$714:C721,"Show")) &amp; "."</f>
        <v>i.</v>
      </c>
      <c r="H722" s="28" t="s">
        <v>2739</v>
      </c>
    </row>
    <row r="723" spans="2:8" hidden="1" outlineLevel="2">
      <c r="B723" s="12" t="s">
        <v>1976</v>
      </c>
      <c r="C723" s="9" t="str">
        <f>IF('1. Criteria &amp; Spec Matrix'!E160='3. Dropdowns'!C116,"Show",
IF(AND('1. Criteria &amp; Spec Matrix'!C160="Show",'1. Criteria &amp; Spec Matrix'!E160=""),"Show","Hide"))</f>
        <v>Show</v>
      </c>
      <c r="F723" s="78"/>
      <c r="G723" s="70" t="str">
        <f>CHAR(97+COUNTIF($C$714:C722,"Show")) &amp; "."</f>
        <v>j.</v>
      </c>
      <c r="H723" s="28" t="s">
        <v>2739</v>
      </c>
    </row>
    <row r="724" spans="2:8" hidden="1" outlineLevel="2">
      <c r="B724" s="12" t="s">
        <v>718</v>
      </c>
      <c r="C724" s="9" t="str">
        <f>IF('1. Criteria &amp; Spec Matrix'!E141='3. Dropdowns'!C119,"Show",
IF(AND('1. Criteria &amp; Spec Matrix'!C141="Show",'1. Criteria &amp; Spec Matrix'!E141=""),"Show","Hide"))</f>
        <v>Show</v>
      </c>
      <c r="F724" s="78"/>
      <c r="G724" s="70" t="str">
        <f>CHAR(97+COUNTIF($C$714:C723,"Show")) &amp; "."</f>
        <v>k.</v>
      </c>
      <c r="H724" s="28" t="s">
        <v>1953</v>
      </c>
    </row>
    <row r="725" spans="2:8" ht="30" hidden="1" outlineLevel="2">
      <c r="B725" s="12" t="s">
        <v>719</v>
      </c>
      <c r="C725" s="2" t="str">
        <f>IF('1. Criteria &amp; Spec Matrix'!E141='3. Dropdowns'!C120,"Show",
IF(AND('1. Criteria &amp; Spec Matrix'!C141="Show",'1. Criteria &amp; Spec Matrix'!E141=""),"Show","Hide"))</f>
        <v>Show</v>
      </c>
      <c r="F725" s="78"/>
      <c r="G725" s="70" t="str">
        <f>CHAR(97+COUNTIF($C$714:C724,"Show")) &amp; "."</f>
        <v>l.</v>
      </c>
      <c r="H725" s="28" t="s">
        <v>720</v>
      </c>
    </row>
    <row r="726" spans="2:8" hidden="1" outlineLevel="2">
      <c r="B726" s="12" t="s">
        <v>3082</v>
      </c>
      <c r="C726" s="2" t="str">
        <f>IF(OR('1. Criteria &amp; Spec Matrix'!E155='3. Dropdowns'!C116,'1. Criteria &amp; Spec Matrix'!E156='3. Dropdowns'!C116),"Show",
IF(AND('1. Criteria &amp; Spec Matrix'!C141="Show",OR('1. Criteria &amp; Spec Matrix'!E155="",'1. Criteria &amp; Spec Matrix'!E156="")),"Show","Hide"))</f>
        <v>Show</v>
      </c>
      <c r="F726" s="78"/>
      <c r="G726" s="70" t="str">
        <f>CHAR(97+COUNTIF($C$714:C725,"Show")) &amp; "."</f>
        <v>m.</v>
      </c>
      <c r="H726" s="28" t="s">
        <v>2981</v>
      </c>
    </row>
    <row r="727" spans="2:8" hidden="1" outlineLevel="2">
      <c r="B727" s="12" t="s">
        <v>724</v>
      </c>
      <c r="C727" s="7" t="str">
        <f>IF(COUNTIF(C728:C735,"Show")&gt;0,"Show","Hide")</f>
        <v>Show</v>
      </c>
      <c r="F727" s="78" t="str">
        <f>(3+COUNTIF(C660,"Show")+COUNTIF(C666,"Show")+COUNTIF(C668,"Show")+COUNTIF(C672,"Show")+COUNTIF(C675,"Show")+COUNTIF(C678,"Show")+COUNTIF(C682,"Show")+COUNTIF(C713,"Show"))&amp;"."</f>
        <v>11.</v>
      </c>
      <c r="G727" s="71" t="s">
        <v>2449</v>
      </c>
      <c r="H727" s="28"/>
    </row>
    <row r="728" spans="2:8" hidden="1" outlineLevel="2">
      <c r="B728" s="12" t="s">
        <v>725</v>
      </c>
      <c r="C728" s="2" t="str">
        <f>IF(OR('1. Criteria &amp; Spec Matrix'!E162='3. Dropdowns'!C125,'1. Criteria &amp; Spec Matrix'!E162='3. Dropdowns'!C126,'1. Criteria &amp; Spec Matrix'!E162=""),"Show")</f>
        <v>Show</v>
      </c>
      <c r="F728" s="78"/>
      <c r="G728" s="70" t="s">
        <v>133</v>
      </c>
      <c r="H728" s="28" t="s">
        <v>2740</v>
      </c>
    </row>
    <row r="729" spans="2:8" hidden="1" outlineLevel="2">
      <c r="B729" s="12" t="s">
        <v>725</v>
      </c>
      <c r="C729" s="2" t="str">
        <f>C728</f>
        <v>Show</v>
      </c>
      <c r="F729" s="78"/>
      <c r="G729" s="70" t="str">
        <f>CHAR(97+COUNTIF($C$728:C728,"Show")) &amp; "."</f>
        <v>b.</v>
      </c>
      <c r="H729" s="28" t="s">
        <v>2741</v>
      </c>
    </row>
    <row r="730" spans="2:8" hidden="1" outlineLevel="2">
      <c r="B730" s="12" t="s">
        <v>725</v>
      </c>
      <c r="C730" s="2" t="str">
        <f>C728</f>
        <v>Show</v>
      </c>
      <c r="F730" s="78"/>
      <c r="G730" s="70" t="str">
        <f>CHAR(97+COUNTIF($C$728:C729,"Show")) &amp; "."</f>
        <v>c.</v>
      </c>
      <c r="H730" s="28" t="s">
        <v>2742</v>
      </c>
    </row>
    <row r="731" spans="2:8" ht="30" hidden="1" outlineLevel="2">
      <c r="B731" s="12" t="s">
        <v>726</v>
      </c>
      <c r="C731" s="2" t="str">
        <f>IF(OR('1. Criteria &amp; Spec Matrix'!E162='3. Dropdowns'!C126,'1. Criteria &amp; Spec Matrix'!E162=""),"Show")</f>
        <v>Show</v>
      </c>
      <c r="F731" s="78"/>
      <c r="G731" s="70" t="str">
        <f>CHAR(97+COUNTIF($C$728:C730,"Show")) &amp; "."</f>
        <v>d.</v>
      </c>
      <c r="H731" s="28" t="s">
        <v>727</v>
      </c>
    </row>
    <row r="732" spans="2:8" ht="30" hidden="1" outlineLevel="2">
      <c r="B732" s="12" t="s">
        <v>726</v>
      </c>
      <c r="C732" s="2" t="str">
        <f>C731</f>
        <v>Show</v>
      </c>
      <c r="F732" s="78"/>
      <c r="G732" s="70" t="str">
        <f>CHAR(97+COUNTIF($C$728:C731,"Show")) &amp; "."</f>
        <v>e.</v>
      </c>
      <c r="H732" s="28" t="s">
        <v>728</v>
      </c>
    </row>
    <row r="733" spans="2:8" hidden="1" outlineLevel="2">
      <c r="B733" s="12" t="s">
        <v>726</v>
      </c>
      <c r="C733" s="2" t="str">
        <f>C731</f>
        <v>Show</v>
      </c>
      <c r="F733" s="78"/>
      <c r="G733" s="70" t="str">
        <f>CHAR(97+COUNTIF($C$728:C732,"Show")) &amp; "."</f>
        <v>f.</v>
      </c>
      <c r="H733" s="28" t="s">
        <v>2982</v>
      </c>
    </row>
    <row r="734" spans="2:8" hidden="1" outlineLevel="2">
      <c r="B734" s="12" t="s">
        <v>726</v>
      </c>
      <c r="C734" s="2" t="str">
        <f>C731</f>
        <v>Show</v>
      </c>
      <c r="F734" s="78"/>
      <c r="G734" s="70" t="str">
        <f>CHAR(97+COUNTIF($C$728:C733,"Show")) &amp; "."</f>
        <v>g.</v>
      </c>
      <c r="H734" s="28" t="s">
        <v>729</v>
      </c>
    </row>
    <row r="735" spans="2:8" hidden="1" outlineLevel="2">
      <c r="B735" s="12" t="s">
        <v>726</v>
      </c>
      <c r="C735" s="2" t="str">
        <f>C731</f>
        <v>Show</v>
      </c>
      <c r="F735" s="78"/>
      <c r="G735" s="70" t="str">
        <f>CHAR(97+COUNTIF($C$728:C734,"Show")) &amp; "."</f>
        <v>h.</v>
      </c>
      <c r="H735" s="28" t="s">
        <v>730</v>
      </c>
    </row>
    <row r="736" spans="2:8" hidden="1" outlineLevel="2">
      <c r="B736" s="76" t="s">
        <v>2456</v>
      </c>
      <c r="C736" s="7" t="str">
        <f>IF(COUNTIF(C737:C768,"Show")&gt;0,"Show","Hide")</f>
        <v>Show</v>
      </c>
      <c r="E736" s="70" t="str">
        <f>CHAR(66+COUNTIF(C648,"Show")) &amp;  "."</f>
        <v>C.</v>
      </c>
      <c r="F736" s="69" t="s">
        <v>357</v>
      </c>
      <c r="H736" s="106"/>
    </row>
    <row r="737" spans="2:8" hidden="1" outlineLevel="2">
      <c r="B737" s="76" t="s">
        <v>2588</v>
      </c>
      <c r="C737" s="7" t="str">
        <f>IF(COUNTIF(C738:C742,"Show")&gt;0,"Show","Hide")</f>
        <v>Show</v>
      </c>
      <c r="F737" s="108" t="s">
        <v>121</v>
      </c>
      <c r="G737" s="71" t="s">
        <v>2450</v>
      </c>
    </row>
    <row r="738" spans="2:8" ht="105" hidden="1" outlineLevel="2">
      <c r="B738" s="12" t="s">
        <v>2590</v>
      </c>
      <c r="C738" s="9" t="str">
        <f>IF(AND('1. Criteria &amp; Spec Matrix'!D5='3. Dropdowns'!C7,OR('1. Criteria &amp; Spec Matrix'!E165='3. Dropdowns'!C127,'1. Criteria &amp; Spec Matrix'!E165='3. Dropdowns'!C128)),"Show",
IF(OR('1. Criteria &amp; Spec Matrix'!D5="",'1. Criteria &amp; Spec Matrix'!E165=""),"Show","Hide"))</f>
        <v>Show</v>
      </c>
      <c r="G738" s="70" t="s">
        <v>133</v>
      </c>
      <c r="H738" s="28" t="s">
        <v>2983</v>
      </c>
    </row>
    <row r="739" spans="2:8" ht="105" hidden="1" customHeight="1" outlineLevel="2">
      <c r="B739" s="12" t="s">
        <v>2589</v>
      </c>
      <c r="C739" s="9" t="str">
        <f>IF(AND(OR('1. Criteria &amp; Spec Matrix'!D5='3. Dropdowns'!C8,'1. Criteria &amp; Spec Matrix'!D5='3. Dropdowns'!C9),OR('1. Criteria &amp; Spec Matrix'!E165='3. Dropdowns'!C127,'1. Criteria &amp; Spec Matrix'!E165='3. Dropdowns'!C128)),"Show",
IF(OR('1. Criteria &amp; Spec Matrix'!D5="",'1. Criteria &amp; Spec Matrix'!E165=""),"Show","Hide"))</f>
        <v>Show</v>
      </c>
      <c r="G739" s="70" t="str">
        <f>CHAR(97+COUNTIF($C$738:C738,"Show")) &amp; "."</f>
        <v>b.</v>
      </c>
      <c r="H739" s="28" t="s">
        <v>358</v>
      </c>
    </row>
    <row r="740" spans="2:8" hidden="1" outlineLevel="2">
      <c r="B740" s="12" t="s">
        <v>2587</v>
      </c>
      <c r="C740" s="2" t="str">
        <f>IF(OR('1. Criteria &amp; Spec Matrix'!E165="",'1. Criteria &amp; Spec Matrix'!E165='3. Dropdowns'!C129),"Show","Hide")</f>
        <v>Show</v>
      </c>
      <c r="G740" s="70" t="str">
        <f>CHAR(97+COUNTIF($C$738:C739,"Show")) &amp; "."</f>
        <v>c.</v>
      </c>
      <c r="H740" s="28" t="s">
        <v>360</v>
      </c>
    </row>
    <row r="741" spans="2:8" ht="30" hidden="1" outlineLevel="2">
      <c r="B741" s="12" t="s">
        <v>2591</v>
      </c>
      <c r="C741" s="2" t="str">
        <f>IF('1. Criteria &amp; Spec Matrix'!E165='3. Dropdowns'!C129,"Hide","Show")</f>
        <v>Show</v>
      </c>
      <c r="G741" s="70" t="str">
        <f>CHAR(97+COUNTIF($C$738:C740,"Show")) &amp; "."</f>
        <v>d.</v>
      </c>
      <c r="H741" s="28" t="s">
        <v>2743</v>
      </c>
    </row>
    <row r="742" spans="2:8" ht="30" hidden="1" outlineLevel="2">
      <c r="B742" s="12" t="s">
        <v>2586</v>
      </c>
      <c r="C742" s="9" t="str">
        <f>IF(OR('1. Criteria &amp; Spec Matrix'!E165='3. Dropdowns'!C128,'1. Criteria &amp; Spec Matrix'!E165='3. Dropdowns'!C129),"Hide",
IF(OR('1. Criteria &amp; Spec Matrix'!D7='3. Dropdowns'!C17,'1. Criteria &amp; Spec Matrix'!D7='3. Dropdowns'!C18,'1. Criteria &amp; Spec Matrix'!D7=""),"Show","Hide"))</f>
        <v>Show</v>
      </c>
      <c r="F742" s="78"/>
      <c r="G742" s="70" t="str">
        <f>CHAR(97+COUNTIF($C$738:C741,"Show")) &amp; "."</f>
        <v>e.</v>
      </c>
      <c r="H742" s="28" t="s">
        <v>2984</v>
      </c>
    </row>
    <row r="743" spans="2:8" hidden="1" outlineLevel="2">
      <c r="B743" s="12" t="s">
        <v>2438</v>
      </c>
      <c r="C743" s="7" t="str">
        <f>IF(COUNTIF(C744:C749,"Show")&gt;0,"Show","Hide")</f>
        <v>Show</v>
      </c>
      <c r="F743" s="108" t="str">
        <f>(1+COUNTIF(C737,"Show")) &amp; "."</f>
        <v>2.</v>
      </c>
      <c r="G743" s="71" t="s">
        <v>2451</v>
      </c>
    </row>
    <row r="744" spans="2:8" hidden="1" outlineLevel="2">
      <c r="B744" s="12" t="s">
        <v>2439</v>
      </c>
      <c r="C744" s="9" t="str">
        <f>IF(OR('1. Criteria &amp; Spec Matrix'!C166="Show",'1. Criteria &amp; Spec Matrix'!E167='3. Dropdowns'!C131),"Show",
IF(AND('1. Criteria &amp; Spec Matrix'!C167="Show",'1. Criteria &amp; Spec Matrix'!E167=""),"Show","Hide"))</f>
        <v>Show</v>
      </c>
      <c r="F744" s="108"/>
      <c r="G744" s="70" t="s">
        <v>133</v>
      </c>
      <c r="H744" s="28" t="s">
        <v>371</v>
      </c>
    </row>
    <row r="745" spans="2:8" ht="30" hidden="1" outlineLevel="2">
      <c r="B745" s="12" t="s">
        <v>2439</v>
      </c>
      <c r="C745" s="9" t="str">
        <f>C744</f>
        <v>Show</v>
      </c>
      <c r="G745" s="70" t="str">
        <f>CHAR(97+COUNTIF($C$744:C744,"Show")) &amp; "."</f>
        <v>b.</v>
      </c>
      <c r="H745" s="28" t="s">
        <v>2744</v>
      </c>
    </row>
    <row r="746" spans="2:8" hidden="1" outlineLevel="2">
      <c r="B746" s="12" t="s">
        <v>2745</v>
      </c>
      <c r="C746" s="9" t="str">
        <f>IF('1. Criteria &amp; Spec Matrix'!E169='3. Dropdowns'!C132,"Hide","Show")</f>
        <v>Show</v>
      </c>
      <c r="G746" s="70" t="str">
        <f>CHAR(97+COUNTIF($C$744:C745,"Show")) &amp; "."</f>
        <v>c.</v>
      </c>
      <c r="H746" s="28" t="s">
        <v>2985</v>
      </c>
    </row>
    <row r="747" spans="2:8" hidden="1" outlineLevel="2">
      <c r="B747" s="12" t="s">
        <v>380</v>
      </c>
      <c r="C747" s="9" t="str">
        <f>IF(OR('1. Criteria &amp; Spec Matrix'!E169='3. Dropdowns'!C134,'1. Criteria &amp; Spec Matrix'!E169="",'1. Criteria &amp; Spec Matrix'!E169='3. Dropdowns'!C137),"Show","Hide")</f>
        <v>Show</v>
      </c>
      <c r="G747" s="70" t="str">
        <f>CHAR(97+COUNTIF($C$744:C746,"Show")) &amp; "."</f>
        <v>d.</v>
      </c>
      <c r="H747" s="28" t="s">
        <v>383</v>
      </c>
    </row>
    <row r="748" spans="2:8" hidden="1" outlineLevel="2">
      <c r="B748" s="12" t="s">
        <v>381</v>
      </c>
      <c r="C748" s="9" t="str">
        <f>IF(OR('1. Criteria &amp; Spec Matrix'!E169='3. Dropdowns'!C135,'1. Criteria &amp; Spec Matrix'!E169="",'1. Criteria &amp; Spec Matrix'!E169='3. Dropdowns'!C138),"Show","Hide")</f>
        <v>Show</v>
      </c>
      <c r="F748" s="108"/>
      <c r="G748" s="70" t="str">
        <f>CHAR(97+COUNTIF($C$744:C747,"Show")) &amp; "."</f>
        <v>e.</v>
      </c>
      <c r="H748" s="28" t="s">
        <v>384</v>
      </c>
    </row>
    <row r="749" spans="2:8" ht="30" hidden="1" outlineLevel="2">
      <c r="B749" s="12" t="s">
        <v>386</v>
      </c>
      <c r="C749" s="9" t="str">
        <f>IF(OR('1. Criteria &amp; Spec Matrix'!E169='3. Dropdowns'!C136,'1. Criteria &amp; Spec Matrix'!E169='3. Dropdowns'!C137,'1. Criteria &amp; Spec Matrix'!E169='3. Dropdowns'!C138,'1. Criteria &amp; Spec Matrix'!E169=""),"Show","Hide")</f>
        <v>Show</v>
      </c>
      <c r="G749" s="70" t="str">
        <f>CHAR(97+COUNTIF($C$744:C748,"Show")) &amp; "."</f>
        <v>f.</v>
      </c>
      <c r="H749" s="28" t="s">
        <v>389</v>
      </c>
    </row>
    <row r="750" spans="2:8" ht="30" hidden="1" outlineLevel="2">
      <c r="B750" s="12" t="s">
        <v>3083</v>
      </c>
      <c r="C750" s="9" t="str">
        <f>IF('1. Criteria &amp; Spec Matrix'!E169='3. Dropdowns'!C132,"Hide","Show")</f>
        <v>Show</v>
      </c>
      <c r="G750" s="70" t="str">
        <f>CHAR(97+COUNTIF($C$744:C749,"Show")) &amp; "."</f>
        <v>g.</v>
      </c>
      <c r="H750" s="28" t="s">
        <v>2986</v>
      </c>
    </row>
    <row r="751" spans="2:8" hidden="1" outlineLevel="2">
      <c r="B751" s="12" t="s">
        <v>457</v>
      </c>
      <c r="C751" s="7" t="str">
        <f>IF(COUNTIF(C752:C756,"Show")&gt;0,"Show","Hide")</f>
        <v>Show</v>
      </c>
      <c r="F751" s="78" t="str">
        <f>(1+COUNTIF(C737,"Show")+COUNTIF(C743,"Show")) &amp; "."</f>
        <v>3.</v>
      </c>
      <c r="G751" s="71" t="s">
        <v>2452</v>
      </c>
      <c r="H751" s="28"/>
    </row>
    <row r="752" spans="2:8" hidden="1" outlineLevel="2">
      <c r="B752" s="12" t="s">
        <v>457</v>
      </c>
      <c r="C752" s="9" t="str">
        <f>IF(OR('1. Criteria &amp; Spec Matrix'!E170="",'1. Criteria &amp; Spec Matrix'!E170='3. Dropdowns'!C140,'1. Criteria &amp; Spec Matrix'!E170='3. Dropdowns'!C141,'1. Criteria &amp; Spec Matrix'!E170='3. Dropdowns'!C142,'1. Criteria &amp; Spec Matrix'!E170='3. Dropdowns'!C143,'1. Criteria &amp; Spec Matrix'!E170='3. Dropdowns'!C144,'1. Criteria &amp; Spec Matrix'!E170='3. Dropdowns'!C145,'1. Criteria &amp; Spec Matrix'!E170='3. Dropdowns'!C146),"Show","Hide")</f>
        <v>Show</v>
      </c>
      <c r="G752" s="70" t="s">
        <v>133</v>
      </c>
      <c r="H752" s="28" t="s">
        <v>2987</v>
      </c>
    </row>
    <row r="753" spans="2:8" hidden="1" outlineLevel="2">
      <c r="B753" s="12" t="s">
        <v>397</v>
      </c>
      <c r="C753" s="9" t="str">
        <f>IF(OR('1. Criteria &amp; Spec Matrix'!E170='3. Dropdowns'!C140,'1. Criteria &amp; Spec Matrix'!E170='3. Dropdowns'!C143,'1. Criteria &amp; Spec Matrix'!E170='3. Dropdowns'!C144,'1. Criteria &amp; Spec Matrix'!E170='3. Dropdowns'!C146,'1. Criteria &amp; Spec Matrix'!E170=""),"Show","Hide")</f>
        <v>Show</v>
      </c>
      <c r="G753" s="70" t="str">
        <f>CHAR(97+COUNTIF($C$752:C752,"Show")) &amp; "."</f>
        <v>b.</v>
      </c>
      <c r="H753" s="28" t="s">
        <v>484</v>
      </c>
    </row>
    <row r="754" spans="2:8" ht="60" hidden="1" outlineLevel="2">
      <c r="B754" s="12" t="s">
        <v>419</v>
      </c>
      <c r="C754" s="9" t="str">
        <f>IF(OR('1. Criteria &amp; Spec Matrix'!E170='3. Dropdowns'!C141,'1. Criteria &amp; Spec Matrix'!E170='3. Dropdowns'!C143,'1. Criteria &amp; Spec Matrix'!E170='3. Dropdowns'!C145,'1. Criteria &amp; Spec Matrix'!E170='3. Dropdowns'!C146,'1. Criteria &amp; Spec Matrix'!E170=""),"Show","Hide")</f>
        <v>Show</v>
      </c>
      <c r="G754" s="70" t="str">
        <f>CHAR(97+COUNTIF($C$752:C753,"Show")) &amp; "."</f>
        <v>c.</v>
      </c>
      <c r="H754" s="28" t="s">
        <v>2988</v>
      </c>
    </row>
    <row r="755" spans="2:8" ht="75" hidden="1" outlineLevel="2">
      <c r="B755" s="12" t="s">
        <v>419</v>
      </c>
      <c r="C755" s="9" t="str">
        <f>C754</f>
        <v>Show</v>
      </c>
      <c r="G755" s="70" t="str">
        <f>CHAR(97+COUNTIF($C$752:C754,"Show")) &amp; "."</f>
        <v>d.</v>
      </c>
      <c r="H755" s="28" t="s">
        <v>2989</v>
      </c>
    </row>
    <row r="756" spans="2:8" ht="45" hidden="1" outlineLevel="2">
      <c r="B756" s="12" t="s">
        <v>435</v>
      </c>
      <c r="C756" s="9" t="str">
        <f>IF(OR('1. Criteria &amp; Spec Matrix'!E170="",'1. Criteria &amp; Spec Matrix'!E170='3. Dropdowns'!C142,'1. Criteria &amp; Spec Matrix'!E170='3. Dropdowns'!C144,'1. Criteria &amp; Spec Matrix'!E170='3. Dropdowns'!C145,'1. Criteria &amp; Spec Matrix'!E170='3. Dropdowns'!C146),"Show","Hide")</f>
        <v>Show</v>
      </c>
      <c r="G756" s="70" t="str">
        <f>CHAR(97+COUNTIF($C$752:C755,"Show")) &amp; "."</f>
        <v>e.</v>
      </c>
      <c r="H756" s="28" t="s">
        <v>2995</v>
      </c>
    </row>
    <row r="757" spans="2:8" hidden="1" outlineLevel="2">
      <c r="B757" s="12" t="s">
        <v>464</v>
      </c>
      <c r="C757" s="7" t="str">
        <f>IF(COUNTIF(C758:C762,"Show")&gt;0,"Show","Hide")</f>
        <v>Show</v>
      </c>
      <c r="F757" s="78" t="str">
        <f>(1+COUNTIF(C737,"Show")+COUNTIF(C743,"Show")+COUNTIF(C751,"Show")) &amp; "."</f>
        <v>4.</v>
      </c>
      <c r="G757" s="112" t="s">
        <v>2453</v>
      </c>
      <c r="H757" s="28"/>
    </row>
    <row r="758" spans="2:8" ht="30" hidden="1" outlineLevel="2">
      <c r="B758" s="12" t="s">
        <v>464</v>
      </c>
      <c r="C758" s="9" t="str">
        <f>IF(OR('1. Criteria &amp; Spec Matrix'!E180='3. Dropdowns'!C162,'1. Criteria &amp; Spec Matrix'!E180='3. Dropdowns'!C163,'1. Criteria &amp; Spec Matrix'!E180='3. Dropdowns'!C164,'1. Criteria &amp; Spec Matrix'!E180='3. Dropdowns'!C165,'1. Criteria &amp; Spec Matrix'!E180=""),"Show","Hide")</f>
        <v>Show</v>
      </c>
      <c r="F758" s="113"/>
      <c r="G758" s="70" t="s">
        <v>133</v>
      </c>
      <c r="H758" s="28" t="s">
        <v>2991</v>
      </c>
    </row>
    <row r="759" spans="2:8" hidden="1" outlineLevel="2">
      <c r="B759" s="12" t="s">
        <v>463</v>
      </c>
      <c r="C759" s="9" t="str">
        <f>IF(OR('1. Criteria &amp; Spec Matrix'!E180='3. Dropdowns'!C163,'1. Criteria &amp; Spec Matrix'!E180=""),"Show","Hide")</f>
        <v>Show</v>
      </c>
      <c r="G759" s="70" t="str">
        <f>CHAR(97+COUNTIF($C$758:C758,"Show")) &amp; "."</f>
        <v>b.</v>
      </c>
      <c r="H759" s="28" t="s">
        <v>483</v>
      </c>
    </row>
    <row r="760" spans="2:8" hidden="1" outlineLevel="2">
      <c r="B760" s="12" t="s">
        <v>465</v>
      </c>
      <c r="C760" s="9" t="str">
        <f>IF(OR('1. Criteria &amp; Spec Matrix'!E180='3. Dropdowns'!C165,'1. Criteria &amp; Spec Matrix'!E180=""),"Show","Hide")</f>
        <v>Show</v>
      </c>
      <c r="G760" s="70" t="str">
        <f>CHAR(97+COUNTIF($C$758:C759,"Show")) &amp; "."</f>
        <v>c.</v>
      </c>
      <c r="H760" s="28" t="s">
        <v>482</v>
      </c>
    </row>
    <row r="761" spans="2:8" ht="30" hidden="1" outlineLevel="2">
      <c r="B761" s="12" t="s">
        <v>465</v>
      </c>
      <c r="C761" s="9" t="str">
        <f>C760</f>
        <v>Show</v>
      </c>
      <c r="G761" s="70" t="str">
        <f>CHAR(97+COUNTIF($C$758:C760,"Show")) &amp; "."</f>
        <v>d.</v>
      </c>
      <c r="H761" s="28" t="s">
        <v>2746</v>
      </c>
    </row>
    <row r="762" spans="2:8" ht="30" hidden="1" outlineLevel="2">
      <c r="B762" s="12" t="s">
        <v>465</v>
      </c>
      <c r="C762" s="9" t="str">
        <f>C760</f>
        <v>Show</v>
      </c>
      <c r="G762" s="70" t="str">
        <f>CHAR(97+COUNTIF($C$758:C761,"Show")) &amp; "."</f>
        <v>e.</v>
      </c>
      <c r="H762" s="28" t="s">
        <v>481</v>
      </c>
    </row>
    <row r="763" spans="2:8" hidden="1" outlineLevel="2">
      <c r="B763" s="12" t="s">
        <v>480</v>
      </c>
      <c r="C763" s="7" t="str">
        <f>IF(COUNTIF(C764:C764,"Show")&gt;0,"Show","Hide")</f>
        <v>Show</v>
      </c>
      <c r="F763" s="78" t="str">
        <f>(1+COUNTIF(C737,"Show")+COUNTIF(C743,"Show")+COUNTIF(C751,"Show")+COUNTIF(C757,"Show")) &amp; "."</f>
        <v>5.</v>
      </c>
      <c r="G763" s="69" t="s">
        <v>2454</v>
      </c>
      <c r="H763" s="28"/>
    </row>
    <row r="764" spans="2:8" ht="45" hidden="1" outlineLevel="2">
      <c r="B764" s="12" t="s">
        <v>488</v>
      </c>
      <c r="C764" s="9" t="str">
        <f>IF(OR('1. Criteria &amp; Spec Matrix'!E181="",'1. Criteria &amp; Spec Matrix'!E181='3. Dropdowns'!C167,'1. Criteria &amp; Spec Matrix'!E181='3. Dropdowns'!C168,'1. Criteria &amp; Spec Matrix'!E181='3. Dropdowns'!C169,'1. Criteria &amp; Spec Matrix'!E181='3. Dropdowns'!C170),"Show","Hide")</f>
        <v>Show</v>
      </c>
      <c r="G764" s="70" t="s">
        <v>133</v>
      </c>
      <c r="H764" s="28" t="s">
        <v>3087</v>
      </c>
    </row>
    <row r="765" spans="2:8" hidden="1" outlineLevel="2">
      <c r="B765" s="12" t="s">
        <v>494</v>
      </c>
      <c r="C765" s="7" t="str">
        <f>IF(COUNTIF(C767:C768,"Show")&gt;0,"Show","Hide")</f>
        <v>Show</v>
      </c>
      <c r="F765" s="108" t="str">
        <f>(1+COUNTIF(C737,"Show")+COUNTIF(C743,"Show")+COUNTIF(C751,"Show")+COUNTIF(C757,"Show")+COUNTIF(C763,"Show")) &amp; "."</f>
        <v>6.</v>
      </c>
      <c r="G765" s="71" t="s">
        <v>2455</v>
      </c>
      <c r="H765" s="28"/>
    </row>
    <row r="766" spans="2:8" ht="30" hidden="1" outlineLevel="2">
      <c r="B766" s="12" t="s">
        <v>3088</v>
      </c>
      <c r="C766" s="7" t="str">
        <f>IF('1. Criteria &amp; Spec Matrix'!C182="Hide","Hide",
IF(OR('1. Criteria &amp; Spec Matrix'!E182="",'1. Criteria &amp; Spec Matrix'!E182='3. Dropdowns'!C172),"Show","Hide"))</f>
        <v>Show</v>
      </c>
      <c r="F766" s="108"/>
      <c r="G766" s="70" t="s">
        <v>133</v>
      </c>
      <c r="H766" s="28" t="s">
        <v>3089</v>
      </c>
    </row>
    <row r="767" spans="2:8" ht="30" hidden="1" outlineLevel="2">
      <c r="B767" s="12" t="s">
        <v>495</v>
      </c>
      <c r="C767" s="9" t="str">
        <f>IF('1. Criteria &amp; Spec Matrix'!C182="Hide","Hide",
IF(OR('1. Criteria &amp; Spec Matrix'!E182="",'1. Criteria &amp; Spec Matrix'!E182='3. Dropdowns'!C173),"Show","Hide"))</f>
        <v>Show</v>
      </c>
      <c r="G767" s="70" t="str">
        <f>CHAR(97+COUNTIF($C$766:C766,"Show")) &amp; "."</f>
        <v>b.</v>
      </c>
      <c r="H767" s="28" t="s">
        <v>3090</v>
      </c>
    </row>
    <row r="768" spans="2:8" ht="45" hidden="1" outlineLevel="2">
      <c r="B768" s="12" t="s">
        <v>496</v>
      </c>
      <c r="C768" s="9" t="str">
        <f>IF('1. Criteria &amp; Spec Matrix'!C182="Hide","Hide",
IF(OR('1. Criteria &amp; Spec Matrix'!E182="",'1. Criteria &amp; Spec Matrix'!E182='3. Dropdowns'!C174),"Show","Hide"))</f>
        <v>Show</v>
      </c>
      <c r="G768" s="70" t="str">
        <f>CHAR(97+COUNTIF($C$766:C767,"Show")) &amp; "."</f>
        <v>c.</v>
      </c>
      <c r="H768" s="28" t="s">
        <v>3091</v>
      </c>
    </row>
    <row r="769" spans="2:8" hidden="1" outlineLevel="2">
      <c r="B769" s="76"/>
      <c r="C769" s="7" t="s">
        <v>116</v>
      </c>
      <c r="E769" s="70" t="str">
        <f>CHAR(66+COUNTIF(C648,"Show")+COUNTIF(C736,"Show"))&amp; "."</f>
        <v>D.</v>
      </c>
      <c r="F769" s="110" t="s">
        <v>501</v>
      </c>
      <c r="G769" s="114"/>
      <c r="H769" s="115"/>
    </row>
    <row r="770" spans="2:8" hidden="1" outlineLevel="2">
      <c r="B770" s="12" t="s">
        <v>2475</v>
      </c>
      <c r="C770" s="7" t="str">
        <f>IF(COUNTIF(C771:C772,"Show")&gt;0,"Show","Hide")</f>
        <v>Show</v>
      </c>
      <c r="F770" s="78" t="s">
        <v>121</v>
      </c>
      <c r="G770" s="71" t="s">
        <v>503</v>
      </c>
      <c r="H770" s="28"/>
    </row>
    <row r="771" spans="2:8" ht="30" hidden="1" outlineLevel="2">
      <c r="B771" s="12" t="s">
        <v>2476</v>
      </c>
      <c r="C771" s="2" t="str">
        <f>IF(OR('1. Criteria &amp; Spec Matrix'!E190='3. Dropdowns'!C193,'1. Criteria &amp; Spec Matrix'!E190='3. Dropdowns'!C194,'1. Criteria &amp; Spec Matrix'!E190='3. Dropdowns'!C195,'1. Criteria &amp; Spec Matrix'!E190='3. Dropdowns'!C196),"Hide",
IF(AND('1. Criteria &amp; Spec Matrix'!D5='3. Dropdowns'!C7,OR('1. Criteria &amp; Spec Matrix'!D7='3. Dropdowns'!C18,'1. Criteria &amp; Spec Matrix'!D7='3. Dropdowns'!C19,'1. Criteria &amp; Spec Matrix'!D7='3. Dropdowns'!C20)),"Show",
IF(AND('1. Criteria &amp; Spec Matrix'!D5="",'1. Criteria &amp; Spec Matrix'!D7=""),"Show",
IF(AND('1. Criteria &amp; Spec Matrix'!D5='3. Dropdowns'!C7,'1. Criteria &amp; Spec Matrix'!D7=""),"Show",
IF(AND('1. Criteria &amp; Spec Matrix'!D5="",OR('1. Criteria &amp; Spec Matrix'!D7='3. Dropdowns'!C18,'1. Criteria &amp; Spec Matrix'!D7='3. Dropdowns'!C19,'1. Criteria &amp; Spec Matrix'!D7='3. Dropdowns'!C20)),"Show","Hide")))))</f>
        <v>Show</v>
      </c>
      <c r="F771" s="116"/>
      <c r="G771" s="70" t="s">
        <v>133</v>
      </c>
      <c r="H771" s="117" t="s">
        <v>505</v>
      </c>
    </row>
    <row r="772" spans="2:8" ht="30" hidden="1" outlineLevel="2">
      <c r="B772" s="12" t="s">
        <v>2477</v>
      </c>
      <c r="C772" s="2" t="str">
        <f>IF(OR('1. Criteria &amp; Spec Matrix'!E190='3. Dropdowns'!C193,'1. Criteria &amp; Spec Matrix'!E190='3. Dropdowns'!C194,'1. Criteria &amp; Spec Matrix'!E190='3. Dropdowns'!C195,'1. Criteria &amp; Spec Matrix'!E190='3. Dropdowns'!C196),"Hide",
IF(AND('1. Criteria &amp; Spec Matrix'!D5='3. Dropdowns'!C7,'1. Criteria &amp; Spec Matrix'!D7='3. Dropdowns'!C17),"Show",
IF(AND('1. Criteria &amp; Spec Matrix'!D5="",'1. Criteria &amp; Spec Matrix'!D7=""),"Show",
IF(AND('1. Criteria &amp; Spec Matrix'!D5='3. Dropdowns'!C7,'1. Criteria &amp; Spec Matrix'!D7=""),"Show",
IF(AND('1. Criteria &amp; Spec Matrix'!D5="",'1. Criteria &amp; Spec Matrix'!D7='3. Dropdowns'!C17),"Show","Hide")))))</f>
        <v>Show</v>
      </c>
      <c r="F772" s="116"/>
      <c r="G772" s="70" t="str">
        <f>CHAR(97+COUNTIF($C$771:C771,"Show")) &amp; "."</f>
        <v>b.</v>
      </c>
      <c r="H772" s="117" t="s">
        <v>506</v>
      </c>
    </row>
    <row r="773" spans="2:8" hidden="1" outlineLevel="2">
      <c r="B773" s="12" t="s">
        <v>2633</v>
      </c>
      <c r="C773" s="9" t="str">
        <f>IF(COUNTIF(C774:C788,"Show")&gt;0,"Show","Hide")</f>
        <v>Show</v>
      </c>
      <c r="F773" s="78" t="str">
        <f>(1+COUNTIF(C770,"Show"))&amp;"."</f>
        <v>2.</v>
      </c>
      <c r="G773" s="71" t="s">
        <v>2466</v>
      </c>
      <c r="H773" s="117"/>
    </row>
    <row r="774" spans="2:8" ht="30" hidden="1" outlineLevel="2">
      <c r="B774" s="12" t="s">
        <v>2635</v>
      </c>
      <c r="C774" s="9" t="str">
        <f>IF(NOT(OR('1. Criteria &amp; Spec Matrix'!E190="",'1. Criteria &amp; Spec Matrix'!E190='3. Dropdowns'!C191)),"Hide",IF(OR('1. Criteria &amp; Spec Matrix'!E186='3. Dropdowns'!C175,'1. Criteria &amp; Spec Matrix'!E186='3. Dropdowns'!C177),"Show",IF(AND('1. Criteria &amp; Spec Matrix'!C186="Show",'1. Criteria &amp; Spec Matrix'!E186=""),"Show","Hide")))</f>
        <v>Show</v>
      </c>
      <c r="F774" s="116"/>
      <c r="G774" s="70" t="s">
        <v>133</v>
      </c>
      <c r="H774" s="117" t="s">
        <v>769</v>
      </c>
    </row>
    <row r="775" spans="2:8" ht="30" hidden="1" outlineLevel="2">
      <c r="B775" s="12" t="s">
        <v>2631</v>
      </c>
      <c r="C775" s="9" t="str">
        <f>IF(NOT(OR('1. Criteria &amp; Spec Matrix'!E190="",'1. Criteria &amp; Spec Matrix'!E190='3. Dropdowns'!C191)),"Hide",IF('1. Criteria &amp; Spec Matrix'!E186='3. Dropdowns'!C176,"Show",IF(AND('1. Criteria &amp; Spec Matrix'!C186="Show",'1. Criteria &amp; Spec Matrix'!E186=""),"Show","Hide")))</f>
        <v>Show</v>
      </c>
      <c r="F775" s="116"/>
      <c r="G775" s="70" t="str">
        <f>CHAR(97+COUNTIF($C$774:C774,"Show")) &amp; "."</f>
        <v>b.</v>
      </c>
      <c r="H775" s="117" t="s">
        <v>770</v>
      </c>
    </row>
    <row r="776" spans="2:8" ht="45" hidden="1" outlineLevel="2">
      <c r="B776" s="12" t="s">
        <v>2632</v>
      </c>
      <c r="C776" s="9" t="str">
        <f>IF(NOT(OR('1. Criteria &amp; Spec Matrix'!E190="",'1. Criteria &amp; Spec Matrix'!E190='3. Dropdowns'!C191)),"Hide",IF('1. Criteria &amp; Spec Matrix'!E186='3. Dropdowns'!C178,"Show",IF(AND('1. Criteria &amp; Spec Matrix'!C186="Show",'1. Criteria &amp; Spec Matrix'!E186=""),"Show","Hide")))</f>
        <v>Show</v>
      </c>
      <c r="F776" s="116"/>
      <c r="G776" s="70" t="str">
        <f>CHAR(97+COUNTIF($C$774:C775,"Show")) &amp; "."</f>
        <v>c.</v>
      </c>
      <c r="H776" s="117" t="s">
        <v>771</v>
      </c>
    </row>
    <row r="777" spans="2:8" ht="30" hidden="1" outlineLevel="2">
      <c r="B777" s="12" t="s">
        <v>2634</v>
      </c>
      <c r="C777" s="9" t="str">
        <f>IF(NOT(OR('1. Criteria &amp; Spec Matrix'!E190="",'1. Criteria &amp; Spec Matrix'!E190='3. Dropdowns'!C191)),"Hide",IF('1. Criteria &amp; Spec Matrix'!E186='3. Dropdowns'!C179,"Show",IF(AND('1. Criteria &amp; Spec Matrix'!C186="Show",'1. Criteria &amp; Spec Matrix'!E186=""),"Show","Hide")))</f>
        <v>Show</v>
      </c>
      <c r="F777" s="116"/>
      <c r="G777" s="70" t="str">
        <f>CHAR(97+COUNTIF($C$774:C776,"Show")) &amp; "."</f>
        <v>d.</v>
      </c>
      <c r="H777" s="117" t="s">
        <v>751</v>
      </c>
    </row>
    <row r="778" spans="2:8" hidden="1" outlineLevel="2">
      <c r="B778" s="12" t="s">
        <v>2636</v>
      </c>
      <c r="C778" s="9" t="str">
        <f>IF(OR('1. Criteria &amp; Spec Matrix'!E190='3. Dropdowns'!C193,'1. Criteria &amp; Spec Matrix'!E190='3. Dropdowns'!C194,'1. Criteria &amp; Spec Matrix'!E190='3. Dropdowns'!C195,'1. Criteria &amp; Spec Matrix'!E190='3. Dropdowns'!C196),"Hide",IF(OR('1. Criteria &amp; Spec Matrix'!E186='3. Dropdowns'!C180,'1. Criteria &amp; Spec Matrix'!E186='3. Dropdowns'!C177),"Show",IF(AND('1. Criteria &amp; Spec Matrix'!C186="Show",'1. Criteria &amp; Spec Matrix'!E186=""),"Show","Hide")))</f>
        <v>Show</v>
      </c>
      <c r="F778" s="116"/>
      <c r="G778" s="70" t="str">
        <f>CHAR(97+COUNTIF($C$774:C777,"Show")) &amp; "."</f>
        <v>e.</v>
      </c>
      <c r="H778" s="117" t="s">
        <v>752</v>
      </c>
    </row>
    <row r="779" spans="2:8" ht="30" hidden="1" outlineLevel="2">
      <c r="B779" s="12" t="s">
        <v>3040</v>
      </c>
      <c r="C779" s="9"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Dropdowns'!C196),"Hide",IF('1. Criteria &amp; Spec Matrix'!E187='3. Dropdowns'!C183,"Show",IF(AND('1. Criteria &amp; Spec Matrix'!C187="Show",'1. Criteria &amp; Spec Matrix'!E187=""),"Show","Hide"))))</f>
        <v>Show</v>
      </c>
      <c r="F779" s="116"/>
      <c r="G779" s="70" t="str">
        <f>CHAR(97+COUNTIF($C$774:C778,"Show")) &amp; "."</f>
        <v>f.</v>
      </c>
      <c r="H779" s="117" t="s">
        <v>756</v>
      </c>
    </row>
    <row r="780" spans="2:8" ht="60" hidden="1" outlineLevel="2">
      <c r="B780" s="12" t="s">
        <v>3041</v>
      </c>
      <c r="C780" s="9"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Dropdowns'!C196),"Hide",IF('1. Criteria &amp; Spec Matrix'!E187='3. Dropdowns'!C184,"Show",
IF(AND('1. Criteria &amp; Spec Matrix'!C187="Show",'1. Criteria &amp; Spec Matrix'!E187=""),"Show","Hide"))))</f>
        <v>Show</v>
      </c>
      <c r="F780" s="116"/>
      <c r="G780" s="70" t="str">
        <f>CHAR(97+COUNTIF($C$774:C779,"Show")) &amp; "."</f>
        <v>g.</v>
      </c>
      <c r="H780" s="117" t="s">
        <v>754</v>
      </c>
    </row>
    <row r="781" spans="2:8" ht="45" hidden="1" outlineLevel="2">
      <c r="B781" s="12" t="s">
        <v>3042</v>
      </c>
      <c r="C781" s="9"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Dropdowns'!C196),"Hide",IF('1. Criteria &amp; Spec Matrix'!E187='3. Dropdowns'!C182,"Show",
IF(AND('1. Criteria &amp; Spec Matrix'!C187="Show",'1. Criteria &amp; Spec Matrix'!E187=""),"Show","Hide"))))</f>
        <v>Show</v>
      </c>
      <c r="F781" s="116"/>
      <c r="G781" s="70" t="str">
        <f>CHAR(97+COUNTIF($C$774:C780,"Show")) &amp; "."</f>
        <v>h.</v>
      </c>
      <c r="H781" s="117" t="s">
        <v>758</v>
      </c>
    </row>
    <row r="782" spans="2:8" ht="45" hidden="1" outlineLevel="2">
      <c r="B782" s="12" t="s">
        <v>3043</v>
      </c>
      <c r="C782" s="9" t="str">
        <f>IF(OR(C780="Show",C781="Show"),"Show","Hide")</f>
        <v>Show</v>
      </c>
      <c r="F782" s="116"/>
      <c r="G782" s="70" t="str">
        <f>CHAR(97+COUNTIF($C$774:C781,"Show")) &amp; "."</f>
        <v>i.</v>
      </c>
      <c r="H782" s="117" t="s">
        <v>755</v>
      </c>
    </row>
    <row r="783" spans="2:8" ht="30" hidden="1" outlineLevel="2">
      <c r="B783" s="12" t="s">
        <v>3044</v>
      </c>
      <c r="C783" s="9"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Dropdowns'!C196),"Hide",IF(OR('1. Criteria &amp; Spec Matrix'!D5='3. Dropdowns'!C8,AND('1. Criteria &amp; Spec Matrix'!D5='3. Dropdowns'!C9,OR('1. Criteria &amp; Spec Matrix'!E188='3. Dropdowns'!C186,'1. Criteria &amp; Spec Matrix'!E188='3. Dropdowns'!C188))),"Show",
IF(AND('1. Criteria &amp; Spec Matrix'!C188="Show",'1. Criteria &amp; Spec Matrix'!E188=""),"Show","Hide"))))</f>
        <v>Show</v>
      </c>
      <c r="F783" s="116"/>
      <c r="G783" s="70" t="str">
        <f>CHAR(97+COUNTIF($C$774:C782,"Show")) &amp; "."</f>
        <v>j.</v>
      </c>
      <c r="H783" s="117" t="s">
        <v>760</v>
      </c>
    </row>
    <row r="784" spans="2:8" ht="45" hidden="1" outlineLevel="2">
      <c r="B784" s="12" t="s">
        <v>3045</v>
      </c>
      <c r="C784" s="9"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Dropdowns'!C196),"Hide",IF(OR('1. Criteria &amp; Spec Matrix'!E188='3. Dropdowns'!C187,'1. Criteria &amp; Spec Matrix'!E188='3. Dropdowns'!C188),"Show",
IF(AND('1. Criteria &amp; Spec Matrix'!C188="Show",'1. Criteria &amp; Spec Matrix'!E188=""),"Show","Hide"))))</f>
        <v>Show</v>
      </c>
      <c r="F784" s="116"/>
      <c r="G784" s="70" t="str">
        <f>CHAR(97+COUNTIF($C$774:C783,"Show")) &amp; "."</f>
        <v>k.</v>
      </c>
      <c r="H784" s="117" t="s">
        <v>2459</v>
      </c>
    </row>
    <row r="785" spans="2:8" hidden="1" outlineLevel="2">
      <c r="B785" s="12" t="s">
        <v>3046</v>
      </c>
      <c r="C785" s="9"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Dropdowns'!C196),"Hide",IF('1. Criteria &amp; Spec Matrix'!E189='3. Dropdowns'!C189,"Show",
IF(AND('1. Criteria &amp; Spec Matrix'!C189="Show",'1. Criteria &amp; Spec Matrix'!E189=""),"Show","Hide"))))</f>
        <v>Show</v>
      </c>
      <c r="F785" s="116"/>
      <c r="G785" s="70" t="str">
        <f>CHAR(97+COUNTIF($C$774:C784,"Show")) &amp; "."</f>
        <v>l.</v>
      </c>
      <c r="H785" s="117" t="s">
        <v>762</v>
      </c>
    </row>
    <row r="786" spans="2:8" hidden="1" outlineLevel="2">
      <c r="B786" s="12" t="s">
        <v>3047</v>
      </c>
      <c r="C786" s="9"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Dropdowns'!C196),"Hide",'1. Criteria &amp; Spec Matrix'!C186))</f>
        <v>Show</v>
      </c>
      <c r="F786" s="116"/>
      <c r="G786" s="70" t="str">
        <f>CHAR(97+COUNTIF($C$774:C785,"Show")) &amp; "."</f>
        <v>m.</v>
      </c>
      <c r="H786" s="117" t="s">
        <v>759</v>
      </c>
    </row>
    <row r="787" spans="2:8" ht="30" hidden="1" outlineLevel="2">
      <c r="B787" s="12" t="s">
        <v>3047</v>
      </c>
      <c r="C787" s="9" t="str">
        <f>C786</f>
        <v>Show</v>
      </c>
      <c r="F787" s="116"/>
      <c r="G787" s="70" t="str">
        <f>CHAR(97+COUNTIF($C$774:C786,"Show")) &amp; "."</f>
        <v>n.</v>
      </c>
      <c r="H787" s="117" t="s">
        <v>761</v>
      </c>
    </row>
    <row r="788" spans="2:8" ht="30" hidden="1" outlineLevel="2">
      <c r="B788" s="12" t="s">
        <v>3017</v>
      </c>
      <c r="C788" s="9" t="str">
        <f>IF(AND('1. Criteria &amp; Spec Matrix'!E186='3. Dropdowns'!C181,'1. Criteria &amp; Spec Matrix'!F5='3. Dropdowns'!C12),"Show",IF(AND('1. Criteria &amp; Spec Matrix'!E186="",'1. Criteria &amp; Spec Matrix'!F5=""),"Show",
IF(AND('1. Criteria &amp; Spec Matrix'!E186="",'1. Criteria &amp; Spec Matrix'!F5='3. Dropdowns'!C12),"Show","Hide")))</f>
        <v>Show</v>
      </c>
      <c r="F788" s="116"/>
      <c r="G788" s="70" t="str">
        <f>CHAR(97+COUNTIF($C$774:C787,"Show")) &amp; "."</f>
        <v>o.</v>
      </c>
      <c r="H788" s="117" t="s">
        <v>3016</v>
      </c>
    </row>
    <row r="789" spans="2:8" hidden="1" outlineLevel="2">
      <c r="B789" s="12" t="s">
        <v>2460</v>
      </c>
      <c r="C789" s="7" t="str">
        <f>IF(COUNTIF(C790:C804,"Show")&gt;0,"Show","Hide")</f>
        <v>Show</v>
      </c>
      <c r="F789" s="78" t="str">
        <f>(1+COUNTIF(C770,"Show")+COUNTIF(C773,"Show"))&amp;"."</f>
        <v>3.</v>
      </c>
      <c r="G789" s="71" t="s">
        <v>2284</v>
      </c>
      <c r="H789" s="117"/>
    </row>
    <row r="790" spans="2:8" ht="60" hidden="1" outlineLevel="2">
      <c r="B790" s="12" t="s">
        <v>2461</v>
      </c>
      <c r="C790" s="9" t="str">
        <f>IF(AND(OR('1. Criteria &amp; Spec Matrix'!D7='3. Dropdowns'!C18,'1. Criteria &amp; Spec Matrix'!D7='3. Dropdowns'!C19,'1. Criteria &amp; Spec Matrix'!D7='3. Dropdowns'!C20),'1. Criteria &amp; Spec Matrix'!D5='3. Dropdowns'!C7,'1. Criteria &amp; Spec Matrix'!E190='3. Dropdowns'!C192),"Show",
IF('1. Criteria &amp; Spec Matrix'!E190="","Show","Hide"))</f>
        <v>Show</v>
      </c>
      <c r="F790" s="116"/>
      <c r="G790" s="70" t="s">
        <v>133</v>
      </c>
      <c r="H790" s="117" t="s">
        <v>810</v>
      </c>
    </row>
    <row r="791" spans="2:8" ht="45" hidden="1" outlineLevel="2">
      <c r="B791" s="12" t="s">
        <v>2462</v>
      </c>
      <c r="C791" s="9" t="str">
        <f>IF(AND('1. Criteria &amp; Spec Matrix'!D7='3. Dropdowns'!C17,'1. Criteria &amp; Spec Matrix'!D5='3. Dropdowns'!C7,'1. Criteria &amp; Spec Matrix'!E190='3. Dropdowns'!C192),"Show",
IF('1. Criteria &amp; Spec Matrix'!E190="","Show","Hide"))</f>
        <v>Show</v>
      </c>
      <c r="F791" s="116"/>
      <c r="G791" s="70" t="str">
        <f>CHAR(97+COUNTIF($C$790:C790,"Show")) &amp; "."</f>
        <v>b.</v>
      </c>
      <c r="H791" s="117" t="s">
        <v>793</v>
      </c>
    </row>
    <row r="792" spans="2:8" ht="30" hidden="1" outlineLevel="2">
      <c r="B792" s="12" t="s">
        <v>2465</v>
      </c>
      <c r="C792" s="9" t="str">
        <f>IF(AND('1. Criteria &amp; Spec Matrix'!E186='3. Dropdowns'!C175,'1. Criteria &amp; Spec Matrix'!E188='3. Dropdowns'!C185,'1. Criteria &amp; Spec Matrix'!E190='3. Dropdowns'!C192),"Show",
IF('1. Criteria &amp; Spec Matrix'!E190="","Show","Hide"))</f>
        <v>Show</v>
      </c>
      <c r="F792" s="116"/>
      <c r="G792" s="70" t="str">
        <f>CHAR(97+COUNTIF($C$790:C791,"Show")) &amp; "."</f>
        <v>c.</v>
      </c>
      <c r="H792" s="117" t="s">
        <v>807</v>
      </c>
    </row>
    <row r="793" spans="2:8" ht="30" hidden="1" outlineLevel="2">
      <c r="B793" s="12" t="s">
        <v>2463</v>
      </c>
      <c r="C793" s="9" t="str">
        <f>IF(AND(OR('1. Criteria &amp; Spec Matrix'!D5='3. Dropdowns'!C9,'1. Criteria &amp; Spec Matrix'!E186='3. Dropdowns'!C177),OR('1. Criteria &amp; Spec Matrix'!E186='3. Dropdowns'!C175,'1. Criteria &amp; Spec Matrix'!E186='3. Dropdowns'!C176,'1. Criteria &amp; Spec Matrix'!E186='3. Dropdowns'!C177),'1. Criteria &amp; Spec Matrix'!E190='3. Dropdowns'!C192),"Show",
IF('1. Criteria &amp; Spec Matrix'!E190="","Show","Hide"))</f>
        <v>Show</v>
      </c>
      <c r="F793" s="116"/>
      <c r="G793" s="70" t="str">
        <f>CHAR(97+COUNTIF($C$790:C792,"Show")) &amp; "."</f>
        <v>d.</v>
      </c>
      <c r="H793" s="117" t="s">
        <v>809</v>
      </c>
    </row>
    <row r="794" spans="2:8" ht="45" hidden="1" outlineLevel="2">
      <c r="B794" s="12" t="s">
        <v>796</v>
      </c>
      <c r="C794" s="9" t="str">
        <f>IF(AND('1. Criteria &amp; Spec Matrix'!E190='3. Dropdowns'!C192,'1. Criteria &amp; Spec Matrix'!E186='3. Dropdowns'!C178),"Show",
IF('1. Criteria &amp; Spec Matrix'!E190="","Show","Hide"))</f>
        <v>Show</v>
      </c>
      <c r="F794" s="116"/>
      <c r="G794" s="70" t="str">
        <f>CHAR(97+COUNTIF($C$790:C793,"Show")) &amp; "."</f>
        <v>e.</v>
      </c>
      <c r="H794" s="117" t="s">
        <v>794</v>
      </c>
    </row>
    <row r="795" spans="2:8" ht="30" hidden="1" outlineLevel="2">
      <c r="B795" s="12" t="s">
        <v>797</v>
      </c>
      <c r="C795" s="9" t="str">
        <f>IF(AND('1. Criteria &amp; Spec Matrix'!E190='3. Dropdowns'!C192,'1. Criteria &amp; Spec Matrix'!E186='3. Dropdowns'!C179),"Show",
IF('1. Criteria &amp; Spec Matrix'!E190="","Show","Hide"))</f>
        <v>Show</v>
      </c>
      <c r="F795" s="116"/>
      <c r="G795" s="70" t="str">
        <f>CHAR(97+COUNTIF($C$790:C794,"Show")) &amp; "."</f>
        <v>f.</v>
      </c>
      <c r="H795" s="117" t="s">
        <v>795</v>
      </c>
    </row>
    <row r="796" spans="2:8" ht="30" hidden="1" outlineLevel="2">
      <c r="B796" s="12" t="s">
        <v>798</v>
      </c>
      <c r="C796" s="9" t="str">
        <f>IF(OR('1. Criteria &amp; Spec Matrix'!E190="",'1. Criteria &amp; Spec Matrix'!E190='3. Dropdowns'!C193),"Show","Hide")</f>
        <v>Show</v>
      </c>
      <c r="F796" s="116"/>
      <c r="G796" s="70" t="str">
        <f>CHAR(97+COUNTIF($C$790:C795,"Show")) &amp; "."</f>
        <v>g.</v>
      </c>
      <c r="H796" s="117" t="s">
        <v>800</v>
      </c>
    </row>
    <row r="797" spans="2:8" hidden="1" outlineLevel="2">
      <c r="B797" s="12" t="s">
        <v>801</v>
      </c>
      <c r="C797" s="9" t="str">
        <f>IF(OR('1. Criteria &amp; Spec Matrix'!E190="",'1. Criteria &amp; Spec Matrix'!E190='3. Dropdowns'!C194),"Show","Hide")</f>
        <v>Show</v>
      </c>
      <c r="F797" s="116"/>
      <c r="G797" s="70" t="str">
        <f>CHAR(97+COUNTIF($C$790:C796,"Show")) &amp; "."</f>
        <v>h.</v>
      </c>
      <c r="H797" s="117" t="s">
        <v>799</v>
      </c>
    </row>
    <row r="798" spans="2:8" ht="30" hidden="1" outlineLevel="2">
      <c r="B798" s="12" t="s">
        <v>802</v>
      </c>
      <c r="C798" s="9" t="str">
        <f>IF(OR('1. Criteria &amp; Spec Matrix'!E190="",'1. Criteria &amp; Spec Matrix'!E190='3. Dropdowns'!C195),"Show","Hide")</f>
        <v>Show</v>
      </c>
      <c r="F798" s="116"/>
      <c r="G798" s="70" t="str">
        <f>CHAR(97+COUNTIF($C$790:C797,"Show")) &amp; "."</f>
        <v>i.</v>
      </c>
      <c r="H798" s="28" t="s">
        <v>804</v>
      </c>
    </row>
    <row r="799" spans="2:8" hidden="1" outlineLevel="2">
      <c r="B799" s="12" t="s">
        <v>803</v>
      </c>
      <c r="C799" s="9" t="str">
        <f>IF(OR('1. Criteria &amp; Spec Matrix'!E190="",'1. Criteria &amp; Spec Matrix'!E190='3. Dropdowns'!C196),"Show","Hide")</f>
        <v>Show</v>
      </c>
      <c r="F799" s="116"/>
      <c r="G799" s="70" t="str">
        <f>CHAR(97+COUNTIF($C$790:C798,"Show")) &amp; "."</f>
        <v>j.</v>
      </c>
      <c r="H799" s="117" t="s">
        <v>805</v>
      </c>
    </row>
    <row r="800" spans="2:8" ht="30" hidden="1" outlineLevel="2">
      <c r="B800" s="12" t="s">
        <v>2637</v>
      </c>
      <c r="C800" s="9" t="str">
        <f>IF(AND('1. Criteria &amp; Spec Matrix'!E190='3. Dropdowns'!C197,'1. Criteria &amp; Spec Matrix'!D5='3. Dropdowns'!C8,OR('1. Criteria &amp; Spec Matrix'!E186='3. Dropdowns'!C175,'1. Criteria &amp; Spec Matrix'!E186='3. Dropdowns'!C177)),"Show",
IF('1. Criteria &amp; Spec Matrix'!E190="","Show","Hide"))</f>
        <v>Show</v>
      </c>
      <c r="F800" s="116"/>
      <c r="G800" s="70" t="str">
        <f>CHAR(97+COUNTIF($C$790:C799,"Show")) &amp; "."</f>
        <v>k.</v>
      </c>
      <c r="H800" s="117" t="s">
        <v>812</v>
      </c>
    </row>
    <row r="801" spans="2:8" ht="30" hidden="1" outlineLevel="2">
      <c r="B801" s="12" t="s">
        <v>2638</v>
      </c>
      <c r="C801" s="9" t="str">
        <f>IF(AND('1. Criteria &amp; Spec Matrix'!E190='3. Dropdowns'!C197,'1. Criteria &amp; Spec Matrix'!D5='3. Dropdowns'!C9,OR('1. Criteria &amp; Spec Matrix'!E186='3. Dropdowns'!C175,'1. Criteria &amp; Spec Matrix'!E186='3. Dropdowns'!C176)),"Show",
IF('1. Criteria &amp; Spec Matrix'!E190="","Show","Hide"))</f>
        <v>Show</v>
      </c>
      <c r="F801" s="116"/>
      <c r="G801" s="70" t="str">
        <f>CHAR(97+COUNTIF($C$790:C800,"Show")) &amp; "."</f>
        <v>l.</v>
      </c>
      <c r="H801" s="117" t="s">
        <v>807</v>
      </c>
    </row>
    <row r="802" spans="2:8" ht="45" hidden="1" outlineLevel="2">
      <c r="B802" s="12" t="s">
        <v>815</v>
      </c>
      <c r="C802" s="9" t="str">
        <f>IF(AND('1. Criteria &amp; Spec Matrix'!E190='3. Dropdowns'!C197,'1. Criteria &amp; Spec Matrix'!D5='3. Dropdowns'!C8,'1. Criteria &amp; Spec Matrix'!E186='3. Dropdowns'!C178),"Show",
IF('1. Criteria &amp; Spec Matrix'!E190="","Show","Hide"))</f>
        <v>Show</v>
      </c>
      <c r="F802" s="116"/>
      <c r="G802" s="70" t="str">
        <f>CHAR(97+COUNTIF($C$790:C801,"Show")) &amp; "."</f>
        <v>m.</v>
      </c>
      <c r="H802" s="117" t="s">
        <v>816</v>
      </c>
    </row>
    <row r="803" spans="2:8" ht="30" hidden="1" outlineLevel="2">
      <c r="B803" s="12" t="s">
        <v>2639</v>
      </c>
      <c r="C803" s="9" t="str">
        <f>IF(AND('1. Criteria &amp; Spec Matrix'!E190='3. Dropdowns'!C197,'1. Criteria &amp; Spec Matrix'!D5='3. Dropdowns'!C8,'1. Criteria &amp; Spec Matrix'!E186='3. Dropdowns'!C179),"Show",
IF('1. Criteria &amp; Spec Matrix'!E190="","Show","Hide"))</f>
        <v>Show</v>
      </c>
      <c r="F803" s="116"/>
      <c r="G803" s="70" t="str">
        <f>CHAR(97+COUNTIF($C$790:C802,"Show")) &amp; "."</f>
        <v>n.</v>
      </c>
      <c r="H803" s="117" t="s">
        <v>2641</v>
      </c>
    </row>
    <row r="804" spans="2:8" ht="45" hidden="1" outlineLevel="2">
      <c r="B804" s="12" t="s">
        <v>817</v>
      </c>
      <c r="C804" s="9" t="str">
        <f>IF(AND('1. Criteria &amp; Spec Matrix'!E190='3. Dropdowns'!C197,'1. Criteria &amp; Spec Matrix'!D5='3. Dropdowns'!C9,'1. Criteria &amp; Spec Matrix'!E186='3. Dropdowns'!C178),"Show",
IF('1. Criteria &amp; Spec Matrix'!E190="","Show","Hide"))</f>
        <v>Show</v>
      </c>
      <c r="F804" s="116"/>
      <c r="G804" s="70" t="str">
        <f>CHAR(97+COUNTIF($C$790:C803,"Show")) &amp; "."</f>
        <v>o.</v>
      </c>
      <c r="H804" s="117" t="s">
        <v>818</v>
      </c>
    </row>
    <row r="805" spans="2:8" ht="30" hidden="1" outlineLevel="2">
      <c r="B805" s="12" t="s">
        <v>2640</v>
      </c>
      <c r="C805" s="9" t="str">
        <f>IF(AND('1. Criteria &amp; Spec Matrix'!E190='3. Dropdowns'!C197,'1. Criteria &amp; Spec Matrix'!D5='3. Dropdowns'!C9,'1. Criteria &amp; Spec Matrix'!E186='3. Dropdowns'!C179),"Show",
IF('1. Criteria &amp; Spec Matrix'!E190="","Show","Hide"))</f>
        <v>Show</v>
      </c>
      <c r="F805" s="116"/>
      <c r="G805" s="70" t="str">
        <f>CHAR(97+COUNTIF($C$790:C804,"Show")) &amp; "."</f>
        <v>p.</v>
      </c>
      <c r="H805" s="117" t="s">
        <v>2642</v>
      </c>
    </row>
    <row r="806" spans="2:8" hidden="1" outlineLevel="2">
      <c r="B806" s="12" t="s">
        <v>3018</v>
      </c>
      <c r="C806" s="9" t="str">
        <f>IF(COUNTIF(C807:C817,"Show")&gt;0,"Show","Hide")</f>
        <v>Show</v>
      </c>
      <c r="F806" s="78" t="str">
        <f>(1+COUNTIF(C770,"Show")+COUNTIF(C773,"Show")+COUNTIF(C789,"Show"))&amp;"."</f>
        <v>4.</v>
      </c>
      <c r="G806" s="71" t="s">
        <v>2467</v>
      </c>
      <c r="H806" s="117"/>
    </row>
    <row r="807" spans="2:8" hidden="1" outlineLevel="2">
      <c r="B807" s="12" t="s">
        <v>3019</v>
      </c>
      <c r="C807" s="9" t="str">
        <f>IF(AND('1. Criteria &amp; Spec Matrix'!D5='3. Dropdowns'!C7,'1. Criteria &amp; Spec Matrix'!F5='3. Dropdowns'!C12),"Show",IF(AND('1. Criteria &amp; Spec Matrix'!D5='3. Dropdowns'!C7,NOT('1. Criteria &amp; Spec Matrix'!F5='3. Dropdowns'!C12)),"Show",
IF(OR('1. Criteria &amp; Spec Matrix'!E193='3. Dropdowns'!C206,'1. Criteria &amp; Spec Matrix'!E193='3. Dropdowns'!C207),"Show",
IF(AND('1. Criteria &amp; Spec Matrix'!C193="Show",'1. Criteria &amp; Spec Matrix'!E193=""),"Show","Hide"))))</f>
        <v>Show</v>
      </c>
      <c r="F807" s="116"/>
      <c r="G807" s="70" t="s">
        <v>133</v>
      </c>
      <c r="H807" s="117" t="s">
        <v>837</v>
      </c>
    </row>
    <row r="808" spans="2:8" ht="45" hidden="1" outlineLevel="2">
      <c r="B808" s="12" t="s">
        <v>864</v>
      </c>
      <c r="C808" s="9" t="str">
        <f>IF(AND('1. Criteria &amp; Spec Matrix'!D5='3. Dropdowns'!C7,'1. Criteria &amp; Spec Matrix'!F5='3. Dropdowns'!C12),"Hide",
IF(AND('1. Criteria &amp; Spec Matrix'!C193="Show",'1. Criteria &amp; Spec Matrix'!E193='3. Dropdowns'!C205),"Hide",
IF(AND(OR('1. Criteria &amp; Spec Matrix'!D5='3. Dropdowns'!C8,'1. Criteria &amp; Spec Matrix'!D5='3. Dropdowns'!C9),'1. Criteria &amp; Spec Matrix'!E193='3. Dropdowns'!C207),"Hide",IF(AND('1. Criteria &amp; Spec Matrix'!F5='3. Dropdowns'!C12,'1. Criteria &amp; Spec Matrix'!E193='3. Dropdowns'!C208),"Hide",
IF(OR('1. Criteria &amp; Spec Matrix'!E191='3. Dropdowns'!C199,'1. Criteria &amp; Spec Matrix'!E191='3. Dropdowns'!C201,'1. Criteria &amp; Spec Matrix'!E194='3. Dropdowns'!C209,'1. Criteria &amp; Spec Matrix'!E194='3. Dropdowns'!C211),"Show",
IF(AND('1. Criteria &amp; Spec Matrix'!C191="Show",'1. Criteria &amp; Spec Matrix'!E191=""),"Show",
IF(AND('1. Criteria &amp; Spec Matrix'!C194="Show",'1. Criteria &amp; Spec Matrix'!E194=""),"Show","Hide")))))))</f>
        <v>Show</v>
      </c>
      <c r="F808" s="116"/>
      <c r="G808" s="70" t="str">
        <f>CHAR(97+COUNTIF($C$807:C807,"Show")) &amp; "."</f>
        <v>b.</v>
      </c>
      <c r="H808" s="117" t="s">
        <v>838</v>
      </c>
    </row>
    <row r="809" spans="2:8" ht="30" hidden="1" outlineLevel="2">
      <c r="B809" s="12" t="s">
        <v>868</v>
      </c>
      <c r="C809" s="9" t="str">
        <f>C808</f>
        <v>Show</v>
      </c>
      <c r="F809" s="116"/>
      <c r="G809" s="70" t="str">
        <f>CHAR(97+COUNTIF($C$807:C808,"Show")) &amp; "."</f>
        <v>c.</v>
      </c>
      <c r="H809" s="117" t="s">
        <v>840</v>
      </c>
    </row>
    <row r="810" spans="2:8" hidden="1" outlineLevel="2">
      <c r="B810" s="12" t="s">
        <v>868</v>
      </c>
      <c r="C810" s="9" t="str">
        <f>C808</f>
        <v>Show</v>
      </c>
      <c r="F810" s="116"/>
      <c r="G810" s="70" t="str">
        <f>CHAR(97+COUNTIF($C$807:C809,"Show")) &amp; "."</f>
        <v>d.</v>
      </c>
      <c r="H810" s="117" t="s">
        <v>841</v>
      </c>
    </row>
    <row r="811" spans="2:8" ht="45" hidden="1" outlineLevel="2">
      <c r="B811" s="12" t="s">
        <v>867</v>
      </c>
      <c r="C811" s="9" t="str">
        <f>IF(AND('1. Criteria &amp; Spec Matrix'!D5='3. Dropdowns'!C7,'1. Criteria &amp; Spec Matrix'!F5='3. Dropdowns'!C12),"Hide",IF(AND('1. Criteria &amp; Spec Matrix'!C193="Show",'1. Criteria &amp; Spec Matrix'!E193='3. Dropdowns'!C205),"Hide",IF(AND(OR('1. Criteria &amp; Spec Matrix'!D5='3. Dropdowns'!C8,'1. Criteria &amp; Spec Matrix'!D5='3. Dropdowns'!C9),'1. Criteria &amp; Spec Matrix'!E193='3. Dropdowns'!C207),"Hide",IF(AND('1. Criteria &amp; Spec Matrix'!F5='3. Dropdowns'!C12,'1. Criteria &amp; Spec Matrix'!E193='3. Dropdowns'!C208),"Hide",IF(OR('1. Criteria &amp; Spec Matrix'!E191='3. Dropdowns'!C200,'1. Criteria &amp; Spec Matrix'!E191='3. Dropdowns'!C201,'1. Criteria &amp; Spec Matrix'!E194='3. Dropdowns'!C210,'1. Criteria &amp; Spec Matrix'!E194='3. Dropdowns'!C211),"Show",
IF(AND('1. Criteria &amp; Spec Matrix'!C191="Show",'1. Criteria &amp; Spec Matrix'!E191=""),"Show",
IF(AND('1. Criteria &amp; Spec Matrix'!C194="Show",'1. Criteria &amp; Spec Matrix'!E194=""),"Show","Hide")))))))</f>
        <v>Show</v>
      </c>
      <c r="F811" s="116"/>
      <c r="G811" s="70" t="str">
        <f>CHAR(97+COUNTIF($C$807:C810,"Show")) &amp; "."</f>
        <v>e.</v>
      </c>
      <c r="H811" s="117" t="s">
        <v>839</v>
      </c>
    </row>
    <row r="812" spans="2:8" ht="30" hidden="1" outlineLevel="2">
      <c r="B812" s="12" t="s">
        <v>867</v>
      </c>
      <c r="C812" s="9" t="str">
        <f>C811</f>
        <v>Show</v>
      </c>
      <c r="F812" s="116"/>
      <c r="G812" s="70" t="str">
        <f>CHAR(97+COUNTIF($C$807:C811,"Show")) &amp; "."</f>
        <v>f.</v>
      </c>
      <c r="H812" s="117" t="s">
        <v>842</v>
      </c>
    </row>
    <row r="813" spans="2:8" hidden="1" outlineLevel="2">
      <c r="B813" s="12" t="s">
        <v>867</v>
      </c>
      <c r="C813" s="9" t="str">
        <f>C811</f>
        <v>Show</v>
      </c>
      <c r="F813" s="116"/>
      <c r="G813" s="70" t="str">
        <f>CHAR(97+COUNTIF($C$807:C812,"Show")) &amp; "."</f>
        <v>g.</v>
      </c>
      <c r="H813" s="117" t="s">
        <v>843</v>
      </c>
    </row>
    <row r="814" spans="2:8" ht="30" hidden="1" outlineLevel="2">
      <c r="B814" s="12" t="s">
        <v>869</v>
      </c>
      <c r="C814" s="9" t="str">
        <f>IF(AND('1. Criteria &amp; Spec Matrix'!F5='3. Dropdowns'!C12,'1. Criteria &amp; Spec Matrix'!E193='3. Dropdowns'!C208),"Hide",
IF(OR('1. Criteria &amp; Spec Matrix'!E192='3. Dropdowns'!C204,'1. Criteria &amp; Spec Matrix'!E195='3. Dropdowns'!C213),"Show",
IF(AND('1. Criteria &amp; Spec Matrix'!C192="Show",'1. Criteria &amp; Spec Matrix'!E192=""),"Show",
IF(AND('1. Criteria &amp; Spec Matrix'!C195="Show",'1. Criteria &amp; Spec Matrix'!E195=""),"Show","Hide"))))</f>
        <v>Show</v>
      </c>
      <c r="F814" s="116"/>
      <c r="G814" s="70" t="str">
        <f>CHAR(97+COUNTIF($C$807:C813,"Show")) &amp; "."</f>
        <v>h.</v>
      </c>
      <c r="H814" s="117" t="s">
        <v>844</v>
      </c>
    </row>
    <row r="815" spans="2:8" hidden="1" outlineLevel="2">
      <c r="B815" s="12" t="s">
        <v>869</v>
      </c>
      <c r="C815" s="9" t="str">
        <f>C814</f>
        <v>Show</v>
      </c>
      <c r="F815" s="116"/>
      <c r="G815" s="70" t="str">
        <f>CHAR(97+COUNTIF($C$807:C814,"Show")) &amp; "."</f>
        <v>i.</v>
      </c>
      <c r="H815" s="117" t="s">
        <v>3093</v>
      </c>
    </row>
    <row r="816" spans="2:8" hidden="1" outlineLevel="2">
      <c r="B816" s="12" t="s">
        <v>3021</v>
      </c>
      <c r="C816" s="9" t="str">
        <f>IF(AND('1. Criteria &amp; Spec Matrix'!C193="Show",'1. Criteria &amp; Spec Matrix'!E193='3. Dropdowns'!C205),"Hide",IF(AND('1. Criteria &amp; Spec Matrix'!F5='3. Dropdowns'!C12,'1. Criteria &amp; Spec Matrix'!E193='3. Dropdowns'!C208),"Hide",
IF(AND('1. Criteria &amp; Spec Matrix'!F5='3. Dropdowns'!C12,'1. Criteria &amp; Spec Matrix'!D5='3. Dropdowns'!C7),"Show",IF(OR('1. Criteria &amp; Spec Matrix'!E191='3. Dropdowns'!C198,'1. Criteria &amp; Spec Matrix'!E191='3. Dropdowns'!C202,'1. Criteria &amp; Spec Matrix'!E193='3. Dropdowns'!C207),"Show",
IF(AND('1. Criteria &amp; Spec Matrix'!C191="Show",'1. Criteria &amp; Spec Matrix'!E191=""),"Show",
IF(AND('1. Criteria &amp; Spec Matrix'!C193="Show",'1. Criteria &amp; Spec Matrix'!E193=""),"Show","Hide"))))))</f>
        <v>Show</v>
      </c>
      <c r="F816" s="116"/>
      <c r="G816" s="70" t="str">
        <f>CHAR(97+COUNTIF($C$807:C815,"Show")) &amp; "."</f>
        <v>j.</v>
      </c>
      <c r="H816" s="117" t="s">
        <v>3092</v>
      </c>
    </row>
    <row r="817" spans="2:8" hidden="1" outlineLevel="2">
      <c r="B817" s="12" t="s">
        <v>3022</v>
      </c>
      <c r="C817" s="9" t="str">
        <f>IF(AND('1. Criteria &amp; Spec Matrix'!F5='3. Dropdowns'!C12,'1. Criteria &amp; Spec Matrix'!E193='3. Dropdowns'!C208),"Show",
IF(AND(NOT('1. Criteria &amp; Spec Matrix'!D5='3. Dropdowns'!C7),OR('1. Criteria &amp; Spec Matrix'!F5='3. Dropdowns'!C12,'1. Criteria &amp; Spec Matrix'!F5=""),'1. Criteria &amp; Spec Matrix'!E193=""),"Show","Hide"))</f>
        <v>Show</v>
      </c>
      <c r="F817" s="116"/>
      <c r="G817" s="70" t="str">
        <f>CHAR(97+COUNTIF($C$807:C816,"Show")) &amp; "."</f>
        <v>k.</v>
      </c>
      <c r="H817" s="117" t="s">
        <v>3023</v>
      </c>
    </row>
    <row r="818" spans="2:8" hidden="1" outlineLevel="2">
      <c r="B818" s="12" t="s">
        <v>2469</v>
      </c>
      <c r="C818" s="7" t="str">
        <f>IF(COUNTIF(C819:C820,"Show")&gt;0,"Show","Hide")</f>
        <v>Show</v>
      </c>
      <c r="F818" s="78" t="str">
        <f>(1+COUNTIF(C770,"Show")+COUNTIF(C773,"Show")+COUNTIF(C789,"Show")+COUNTIF(C806,"Show"))&amp;"."</f>
        <v>5.</v>
      </c>
      <c r="G818" s="71" t="s">
        <v>2471</v>
      </c>
      <c r="H818" s="117"/>
    </row>
    <row r="819" spans="2:8" ht="30" hidden="1" outlineLevel="2">
      <c r="B819" s="12" t="s">
        <v>880</v>
      </c>
      <c r="C819" s="9" t="str">
        <f>IF(OR('1. Criteria &amp; Spec Matrix'!E196='3. Dropdowns'!C215,'1. Criteria &amp; Spec Matrix'!E196=""),"Show","Hide")</f>
        <v>Show</v>
      </c>
      <c r="F819" s="116"/>
      <c r="G819" s="70" t="s">
        <v>133</v>
      </c>
      <c r="H819" s="117" t="s">
        <v>879</v>
      </c>
    </row>
    <row r="820" spans="2:8" ht="30" hidden="1" outlineLevel="2">
      <c r="B820" s="12" t="s">
        <v>880</v>
      </c>
      <c r="C820" s="9" t="str">
        <f>IF(OR('1. Criteria &amp; Spec Matrix'!E196='3. Dropdowns'!C215,'1. Criteria &amp; Spec Matrix'!E196=""),"Show","Hide")</f>
        <v>Show</v>
      </c>
      <c r="F820" s="116"/>
      <c r="G820" s="70" t="str">
        <f>CHAR(97+COUNTIF($C$819:C819,"Show")) &amp; "."</f>
        <v>b.</v>
      </c>
      <c r="H820" s="117" t="s">
        <v>891</v>
      </c>
    </row>
    <row r="821" spans="2:8" hidden="1" outlineLevel="2">
      <c r="B821" s="12" t="s">
        <v>906</v>
      </c>
      <c r="C821" s="7" t="str">
        <f>IF(COUNTIF(C822:C825,"Show")&gt;0,"Show","Hide")</f>
        <v>Show</v>
      </c>
      <c r="F821" s="78" t="str">
        <f>(1+COUNTIF(C770,"Show")+COUNTIF(C773,"Show")+COUNTIF(C789,"Show")+COUNTIF(C806,"Show")+COUNTIF(C818,"Show"))&amp;"."</f>
        <v>6.</v>
      </c>
      <c r="G821" s="71" t="s">
        <v>905</v>
      </c>
      <c r="H821" s="117"/>
    </row>
    <row r="822" spans="2:8" hidden="1" outlineLevel="2">
      <c r="B822" s="12" t="s">
        <v>907</v>
      </c>
      <c r="C822" s="9" t="str">
        <f>IF(OR('1. Criteria &amp; Spec Matrix'!E197='3. Dropdowns'!C218,'1. Criteria &amp; Spec Matrix'!E197=""),"Show","Hide")</f>
        <v>Show</v>
      </c>
      <c r="F822" s="116"/>
      <c r="G822" s="70" t="s">
        <v>133</v>
      </c>
      <c r="H822" s="117" t="s">
        <v>2504</v>
      </c>
    </row>
    <row r="823" spans="2:8" hidden="1" outlineLevel="2">
      <c r="B823" s="12" t="s">
        <v>909</v>
      </c>
      <c r="C823" s="9" t="str">
        <f>IF(OR('1. Criteria &amp; Spec Matrix'!E197='3. Dropdowns'!C219,'1. Criteria &amp; Spec Matrix'!E197=""),"Show","Hide")</f>
        <v>Show</v>
      </c>
      <c r="F823" s="116"/>
      <c r="G823" s="70" t="str">
        <f>CHAR(97+COUNTIF($C822:C$822,"Show")) &amp; "."</f>
        <v>b.</v>
      </c>
      <c r="H823" s="117" t="s">
        <v>908</v>
      </c>
    </row>
    <row r="824" spans="2:8" ht="30" hidden="1" outlineLevel="2">
      <c r="B824" s="12" t="s">
        <v>3095</v>
      </c>
      <c r="C824" s="9" t="str">
        <f>IF(OR('1. Criteria &amp; Spec Matrix'!E197='3. Dropdowns'!C220,'1. Criteria &amp; Spec Matrix'!E197='3. Dropdowns'!C219,'1. Criteria &amp; Spec Matrix'!E197='3. Dropdowns'!C218,'1. Criteria &amp; Spec Matrix'!E197=""),"Show","Hide")</f>
        <v>Show</v>
      </c>
      <c r="D824"/>
      <c r="F824" s="116"/>
      <c r="G824" s="70" t="str">
        <f>CHAR(97+COUNTIF($C$822:C823,"Show")) &amp; "."</f>
        <v>c.</v>
      </c>
      <c r="H824" s="117" t="s">
        <v>3094</v>
      </c>
    </row>
    <row r="825" spans="2:8" hidden="1" outlineLevel="2">
      <c r="B825" s="12" t="s">
        <v>910</v>
      </c>
      <c r="C825" s="9" t="str">
        <f>IF(OR('1. Criteria &amp; Spec Matrix'!E197='3. Dropdowns'!C220,'1. Criteria &amp; Spec Matrix'!E197=""),"Show","Hide")</f>
        <v>Show</v>
      </c>
      <c r="F825" s="116"/>
      <c r="G825" s="70" t="str">
        <f>CHAR(97+COUNTIF($C$822:C824,"Show")) &amp; "."</f>
        <v>d.</v>
      </c>
      <c r="H825" s="117" t="s">
        <v>3096</v>
      </c>
    </row>
    <row r="826" spans="2:8" hidden="1" outlineLevel="2">
      <c r="B826" s="12" t="s">
        <v>927</v>
      </c>
      <c r="C826" s="7" t="str">
        <f>IF(COUNTIF(C827:C828,"Show")&gt;0,"Show","Hide")</f>
        <v>Show</v>
      </c>
      <c r="F826" s="78" t="str">
        <f>(1+COUNTIF(C770,"Show")+COUNTIF(C773,"Show")+COUNTIF(C789,"Show")+COUNTIF(C806,"Show")+COUNTIF(C818,"Show")+COUNTIF(C821,"Show"))&amp;"."</f>
        <v>7.</v>
      </c>
      <c r="G826" s="71" t="s">
        <v>918</v>
      </c>
      <c r="H826" s="117"/>
    </row>
    <row r="827" spans="2:8" ht="30" hidden="1" outlineLevel="2">
      <c r="B827" s="12" t="s">
        <v>926</v>
      </c>
      <c r="C827" s="9" t="str">
        <f>IF(OR('1. Criteria &amp; Spec Matrix'!E198='3. Dropdowns'!C222,'1. Criteria &amp; Spec Matrix'!E198='3. Dropdowns'!C224,'1. Criteria &amp; Spec Matrix'!E198=""),"Show","Hide")</f>
        <v>Show</v>
      </c>
      <c r="F827" s="116"/>
      <c r="G827" s="70" t="s">
        <v>133</v>
      </c>
      <c r="H827" s="117" t="s">
        <v>3097</v>
      </c>
    </row>
    <row r="828" spans="2:8" hidden="1" outlineLevel="2">
      <c r="B828" s="12" t="s">
        <v>3098</v>
      </c>
      <c r="C828" s="9" t="str">
        <f>IF(OR('1. Criteria &amp; Spec Matrix'!E198='3. Dropdowns'!C223,'1. Criteria &amp; Spec Matrix'!E198=""),"Show","Hide")</f>
        <v>Show</v>
      </c>
      <c r="F828" s="116"/>
      <c r="G828" s="70" t="str">
        <f>CHAR(97+COUNTIF($C$827:C827,"Show")) &amp; "."</f>
        <v>b.</v>
      </c>
      <c r="H828" s="117" t="s">
        <v>3099</v>
      </c>
    </row>
    <row r="829" spans="2:8" hidden="1" outlineLevel="2">
      <c r="B829" s="12" t="s">
        <v>952</v>
      </c>
      <c r="C829" s="7" t="str">
        <f>IF(COUNTIF(C830:C835,"Show")&gt;0,"Show","Hide")</f>
        <v>Show</v>
      </c>
      <c r="F829" s="78" t="str">
        <f>(1+COUNTIF(C770,"Show")+COUNTIF(C773,"Show")+COUNTIF(C789,"Show")+COUNTIF(C806,"Show")+COUNTIF(C818,"Show")+COUNTIF(C821,"Show")+COUNTIF(C826,"Show"))&amp;"."</f>
        <v>8.</v>
      </c>
      <c r="G829" s="71" t="s">
        <v>934</v>
      </c>
    </row>
    <row r="830" spans="2:8" ht="30" hidden="1" outlineLevel="2">
      <c r="B830" s="12" t="s">
        <v>952</v>
      </c>
      <c r="C830" s="9" t="str">
        <f>IF('1. Criteria &amp; Spec Matrix'!E199='3. Dropdowns'!C231,"Hide",IF(OR('1. Criteria &amp; Spec Matrix'!E199='3. Dropdowns'!C232,'1. Criteria &amp; Spec Matrix'!E199='3. Dropdowns'!C233,'1. Criteria &amp; Spec Matrix'!E201='3. Dropdowns'!C240,'1. Criteria &amp; Spec Matrix'!E201='3. Dropdowns'!C241,'1. Criteria &amp; Spec Matrix'!E201='3. Dropdowns'!C242,'1. Criteria &amp; Spec Matrix'!E201='3. Dropdowns'!C243),"Show",
IF(AND('1. Criteria &amp; Spec Matrix'!E201="",'1. Criteria &amp; Spec Matrix'!B201="Show"),"Show",
IF(AND('1. Criteria &amp; Spec Matrix'!C199="Show",'1. Criteria &amp; Spec Matrix'!E199=""),"Show","Hide"))))</f>
        <v>Show</v>
      </c>
      <c r="F830" s="78"/>
      <c r="G830" s="70" t="s">
        <v>133</v>
      </c>
      <c r="H830" s="75" t="s">
        <v>3100</v>
      </c>
    </row>
    <row r="831" spans="2:8" ht="30" hidden="1" outlineLevel="2">
      <c r="B831" s="12" t="s">
        <v>953</v>
      </c>
      <c r="C831" s="9" t="str">
        <f>IF('1. Criteria &amp; Spec Matrix'!E199='3. Dropdowns'!C231,"Hide",IF(OR('1. Criteria &amp; Spec Matrix'!E199='3. Dropdowns'!C232,'1. Criteria &amp; Spec Matrix'!E199='3. Dropdowns'!C233,'1. Criteria &amp; Spec Matrix'!E201='3. Dropdowns'!C240,'1. Criteria &amp; Spec Matrix'!E201='3. Dropdowns'!C242),"Show",
IF('1. Criteria &amp; Spec Matrix'!E201="","Show",
IF(AND('1. Criteria &amp; Spec Matrix'!C199="Show",'1. Criteria &amp; Spec Matrix'!E199=""),"Show","Hide"))))</f>
        <v>Show</v>
      </c>
      <c r="F831" s="118"/>
      <c r="G831" s="70" t="str">
        <f>CHAR(97+COUNTIF($C$830:C830,"Show")) &amp; "."</f>
        <v>b.</v>
      </c>
      <c r="H831" s="75" t="s">
        <v>951</v>
      </c>
    </row>
    <row r="832" spans="2:8" hidden="1" outlineLevel="2">
      <c r="B832" s="12" t="s">
        <v>954</v>
      </c>
      <c r="C832" s="9" t="str">
        <f>IF(OR('1. Criteria &amp; Spec Matrix'!E199='3. Dropdowns'!C233,'1. Criteria &amp; Spec Matrix'!E201='3. Dropdowns'!C241,'1. Criteria &amp; Spec Matrix'!E201='3. Dropdowns'!C243),"Show",
IF(AND('1. Criteria &amp; Spec Matrix'!C199="Show",'1. Criteria &amp; Spec Matrix'!E199=""),"Show",
IF('1. Criteria &amp; Spec Matrix'!E201="","Show","Hide")))</f>
        <v>Show</v>
      </c>
      <c r="F832" s="118"/>
      <c r="G832" s="70" t="str">
        <f>CHAR(97+COUNTIF($C$830:C831,"Show")) &amp; "."</f>
        <v>c.</v>
      </c>
      <c r="H832" s="75" t="s">
        <v>2617</v>
      </c>
    </row>
    <row r="833" spans="2:8" ht="30" hidden="1" outlineLevel="2">
      <c r="B833" s="12" t="s">
        <v>955</v>
      </c>
      <c r="C833" s="9" t="str">
        <f>IF('1. Criteria &amp; Spec Matrix'!E202='3. Dropdowns'!C237,"Show",IF(AND('1. Criteria &amp; Spec Matrix'!C202="Show",'1. Criteria &amp; Spec Matrix'!E202=""),"Show","Hide"))</f>
        <v>Show</v>
      </c>
      <c r="F833" s="118"/>
      <c r="G833" s="70" t="str">
        <f>CHAR(97+COUNTIF($C$830:C832,"Show")) &amp; "."</f>
        <v>d.</v>
      </c>
      <c r="H833" s="75" t="s">
        <v>3101</v>
      </c>
    </row>
    <row r="834" spans="2:8" ht="30" hidden="1" outlineLevel="2">
      <c r="B834" s="12" t="s">
        <v>956</v>
      </c>
      <c r="C834" s="9" t="str">
        <f>IF('1. Criteria &amp; Spec Matrix'!E200='3. Dropdowns'!C236,"Show",IF(AND('1. Criteria &amp; Spec Matrix'!C200="Show",'1. Criteria &amp; Spec Matrix'!E200=""),"Show","Hide"))</f>
        <v>Show</v>
      </c>
      <c r="F834" s="118"/>
      <c r="G834" s="70" t="str">
        <f>CHAR(97+COUNTIF($C$830:C833,"Show")) &amp; "."</f>
        <v>e.</v>
      </c>
      <c r="H834" s="75" t="s">
        <v>957</v>
      </c>
    </row>
    <row r="835" spans="2:8" ht="30" hidden="1" outlineLevel="2">
      <c r="B835" s="12" t="s">
        <v>956</v>
      </c>
      <c r="C835" s="9" t="str">
        <f>C834</f>
        <v>Show</v>
      </c>
      <c r="F835" s="118"/>
      <c r="G835" s="70" t="str">
        <f>CHAR(97+COUNTIF($C$830:C834,"Show")) &amp; "."</f>
        <v>f.</v>
      </c>
      <c r="H835" s="75" t="s">
        <v>958</v>
      </c>
    </row>
    <row r="836" spans="2:8" hidden="1" outlineLevel="2">
      <c r="B836" s="12" t="s">
        <v>966</v>
      </c>
      <c r="C836" s="7" t="str">
        <f>IF(COUNTIF(C837:C838,"Show")&gt;0,"Show","Hide")</f>
        <v>Show</v>
      </c>
      <c r="F836" s="78" t="str">
        <f>(1+COUNTIF(C770,"Show")+COUNTIF(C773,"Show")+COUNTIF(C789,"Show")+COUNTIF(C806,"Show")+COUNTIF(C818,"Show")+COUNTIF(C821,"Show")+COUNTIF(C826,"Show")+COUNTIF(C829,"Show"))&amp;"."</f>
        <v>9.</v>
      </c>
      <c r="G836" s="71" t="s">
        <v>965</v>
      </c>
    </row>
    <row r="837" spans="2:8" hidden="1" outlineLevel="2">
      <c r="B837" s="12" t="s">
        <v>968</v>
      </c>
      <c r="C837" s="9" t="str">
        <f>IF(OR('1. Criteria &amp; Spec Matrix'!E203='3. Dropdowns'!C245,'1. Criteria &amp; Spec Matrix'!E203=""),"Show","Hide")</f>
        <v>Show</v>
      </c>
      <c r="F837" s="118"/>
      <c r="G837" s="70" t="s">
        <v>133</v>
      </c>
      <c r="H837" s="75" t="s">
        <v>2747</v>
      </c>
    </row>
    <row r="838" spans="2:8" ht="30" hidden="1" outlineLevel="2">
      <c r="B838" s="12" t="s">
        <v>967</v>
      </c>
      <c r="C838" s="9" t="str">
        <f>IF(OR('1. Criteria &amp; Spec Matrix'!E203='3. Dropdowns'!C246,'1. Criteria &amp; Spec Matrix'!E203=""),"Show","Hide")</f>
        <v>Show</v>
      </c>
      <c r="F838" s="118"/>
      <c r="G838" s="70" t="str">
        <f>CHAR(97+COUNTIF($C$837:C837,"Show")) &amp; "."</f>
        <v>b.</v>
      </c>
      <c r="H838" s="75" t="s">
        <v>3102</v>
      </c>
    </row>
    <row r="839" spans="2:8" hidden="1" outlineLevel="2">
      <c r="B839" s="76"/>
      <c r="C839" s="7" t="s">
        <v>116</v>
      </c>
      <c r="E839" s="70" t="str">
        <f>CHAR(67+COUNTIF(C648,"Show")+COUNTIF(C736,"Show"))&amp; "."</f>
        <v>E.</v>
      </c>
      <c r="F839" s="110" t="s">
        <v>987</v>
      </c>
      <c r="G839" s="70"/>
    </row>
    <row r="840" spans="2:8" hidden="1" outlineLevel="2">
      <c r="B840" s="76" t="s">
        <v>1008</v>
      </c>
      <c r="C840" s="7" t="str">
        <f>IF(COUNTIF(C841:C847,"Show")&gt;0,"Show","Hide")</f>
        <v>Show</v>
      </c>
      <c r="E840" s="70"/>
      <c r="F840" s="78" t="s">
        <v>121</v>
      </c>
      <c r="G840" s="71" t="s">
        <v>2555</v>
      </c>
    </row>
    <row r="841" spans="2:8" ht="30" hidden="1" outlineLevel="2">
      <c r="B841" s="12" t="s">
        <v>996</v>
      </c>
      <c r="C841" s="9" t="str">
        <f>IF(OR('1. Criteria &amp; Spec Matrix'!E212='3. Dropdowns'!C250,'1. Criteria &amp; Spec Matrix'!E212='3. Dropdowns'!C251,'1. Criteria &amp; Spec Matrix'!E212=""),"Show","Hide")</f>
        <v>Show</v>
      </c>
      <c r="G841" s="70" t="s">
        <v>133</v>
      </c>
      <c r="H841" s="75" t="s">
        <v>1024</v>
      </c>
    </row>
    <row r="842" spans="2:8" hidden="1" outlineLevel="2">
      <c r="B842" s="12" t="s">
        <v>1025</v>
      </c>
      <c r="C842" s="9" t="str">
        <f>C841</f>
        <v>Show</v>
      </c>
      <c r="G842" s="70"/>
      <c r="H842" s="75" t="str">
        <f>IF('1. Criteria &amp; Spec Matrix'!E213="","Contractor may select product type.",'1. Criteria &amp; Spec Matrix'!E213)</f>
        <v>Contractor may select product type.</v>
      </c>
    </row>
    <row r="843" spans="2:8" ht="45" hidden="1" outlineLevel="2">
      <c r="B843" s="12" t="s">
        <v>997</v>
      </c>
      <c r="C843" s="9" t="str">
        <f>IF(OR('1. Criteria &amp; Spec Matrix'!E214='3. Dropdowns'!C250,'1. Criteria &amp; Spec Matrix'!E214='3. Dropdowns'!C251,'1. Criteria &amp; Spec Matrix'!E214=""),"Show","Hide")</f>
        <v>Show</v>
      </c>
      <c r="F843" s="116"/>
      <c r="G843" s="70" t="str">
        <f>IF(AND(C841="Show",C842="Show"),(CHAR(96+COUNTIF($C$841:C842,"Show")) &amp; "."),
IF(OR(#REF!="Show",C842="Show"),(CHAR(96+COUNTIF($C$841:C842,"Show")) &amp; "."),
(CHAR(95+COUNTIF($C$841:C842,"Show")) &amp; ".")))</f>
        <v>b.</v>
      </c>
      <c r="H843" s="117" t="s">
        <v>998</v>
      </c>
    </row>
    <row r="844" spans="2:8" ht="60" hidden="1" outlineLevel="2">
      <c r="B844" s="12" t="s">
        <v>1002</v>
      </c>
      <c r="C844" s="9" t="str">
        <f>IF(OR('1. Criteria &amp; Spec Matrix'!E217='3. Dropdowns'!C250,'1. Criteria &amp; Spec Matrix'!E217='3. Dropdowns'!C251,'1. Criteria &amp; Spec Matrix'!E217=""),"Show","Hide")</f>
        <v>Show</v>
      </c>
      <c r="F844" s="116"/>
      <c r="G844" s="70" t="str">
        <f>IF(AND(C841="Show",C843="Show"),(CHAR(96+COUNTIF($C$841:C843,"Show")) &amp; "."),
IF(OR(#REF!="Show",C843="Show"),(CHAR(96+COUNTIF($C$841:C843,"Show")) &amp; "."),
(CHAR(95+COUNTIF($C$841:C843,"Show")) &amp; ".")))</f>
        <v>c.</v>
      </c>
      <c r="H844" s="117" t="s">
        <v>1001</v>
      </c>
    </row>
    <row r="845" spans="2:8" ht="32.1" hidden="1" customHeight="1" outlineLevel="2">
      <c r="B845" s="12" t="s">
        <v>1003</v>
      </c>
      <c r="C845" s="9" t="str">
        <f>IF(OR('1. Criteria &amp; Spec Matrix'!E218='3. Dropdowns'!C250,'1. Criteria &amp; Spec Matrix'!E218='3. Dropdowns'!C251,'1. Criteria &amp; Spec Matrix'!E218=""),"Show","Hide")</f>
        <v>Show</v>
      </c>
      <c r="F845" s="116"/>
      <c r="G845" s="70" t="str">
        <f>IF(AND(C841="Show",C844="Show"),(CHAR(96+COUNTIF($C$841:C844,"Show")) &amp; "."),
IF(OR(#REF!="Show",C844="Show"),(CHAR(96+COUNTIF($C$841:C844,"Show")) &amp; "."),
(CHAR(95+COUNTIF($C$841:C844,"Show")) &amp; ".")))</f>
        <v>d.</v>
      </c>
      <c r="H845" s="117" t="s">
        <v>1006</v>
      </c>
    </row>
    <row r="846" spans="2:8" ht="45" hidden="1" outlineLevel="2">
      <c r="B846" s="12" t="s">
        <v>1004</v>
      </c>
      <c r="C846" s="9" t="str">
        <f>IF(OR('1. Criteria &amp; Spec Matrix'!E219='3. Dropdowns'!C250,'1. Criteria &amp; Spec Matrix'!E219='3. Dropdowns'!C251,'1. Criteria &amp; Spec Matrix'!E219=""),"Show","Hide")</f>
        <v>Show</v>
      </c>
      <c r="F846" s="116"/>
      <c r="G846" s="70" t="str">
        <f>IF(AND(C841="Show",C845="Show"),(CHAR(96+COUNTIF($C$841:C845,"Show")) &amp; "."),
IF(OR(#REF!="Show",C845="Show"),(CHAR(96+COUNTIF($C$841:C845,"Show")) &amp; "."),
(CHAR(95+COUNTIF($C$841:C845,"Show")) &amp; ".")))</f>
        <v>e.</v>
      </c>
      <c r="H846" s="117" t="s">
        <v>1023</v>
      </c>
    </row>
    <row r="847" spans="2:8" ht="30" hidden="1" outlineLevel="2">
      <c r="B847" s="12" t="s">
        <v>1005</v>
      </c>
      <c r="C847" s="9" t="str">
        <f>IF(OR('1. Criteria &amp; Spec Matrix'!E220='3. Dropdowns'!C250,'1. Criteria &amp; Spec Matrix'!E220='3. Dropdowns'!C251,'1. Criteria &amp; Spec Matrix'!E220=""),"Show","Hide")</f>
        <v>Show</v>
      </c>
      <c r="F847" s="116"/>
      <c r="G847" s="70" t="str">
        <f>IF(AND(C841="Show",C846="Show"),(CHAR(96+COUNTIF($C$841:C846,"Show")) &amp; "."),
IF(OR(#REF!="Show",C846="Show"),(CHAR(96+COUNTIF($C$841:C846,"Show")) &amp; "."),
(CHAR(95+COUNTIF($C$841:C846,"Show")) &amp; ".")))</f>
        <v>f.</v>
      </c>
      <c r="H847" s="117" t="s">
        <v>1007</v>
      </c>
    </row>
    <row r="848" spans="2:8" hidden="1" outlineLevel="2">
      <c r="B848" s="12" t="s">
        <v>1046</v>
      </c>
      <c r="C848" s="9" t="str">
        <f>C849</f>
        <v>Show</v>
      </c>
      <c r="E848" s="70"/>
      <c r="F848" s="78" t="str">
        <f>IF(C848="Show",(F840+1)&amp;".",F840)</f>
        <v>2.</v>
      </c>
      <c r="G848" s="71" t="s">
        <v>1044</v>
      </c>
      <c r="H848" s="28"/>
    </row>
    <row r="849" spans="2:8" ht="30" hidden="1" outlineLevel="2">
      <c r="B849" s="12" t="s">
        <v>1045</v>
      </c>
      <c r="C849" s="9" t="str">
        <f>IF('1. Criteria &amp; Spec Matrix'!E221='3. Dropdowns'!C264,"Show",
IF(AND('1. Criteria &amp; Spec Matrix'!C221="Show",'1. Criteria &amp; Spec Matrix'!E221=""),"Show","Hide"))</f>
        <v>Show</v>
      </c>
      <c r="F849" s="78"/>
      <c r="G849" s="70" t="s">
        <v>133</v>
      </c>
      <c r="H849" s="28" t="s">
        <v>1043</v>
      </c>
    </row>
    <row r="850" spans="2:8" hidden="1" outlineLevel="2">
      <c r="B850" s="76"/>
      <c r="C850" s="7" t="s">
        <v>116</v>
      </c>
      <c r="F850" s="78" t="str">
        <f>IF(AND(C840="Show",C848="Show"),"3.",IF(OR(C840="Show",C848="Show"),"2.","1."))</f>
        <v>3.</v>
      </c>
      <c r="G850" s="71" t="s">
        <v>1051</v>
      </c>
      <c r="H850" s="117"/>
    </row>
    <row r="851" spans="2:8" ht="30" hidden="1" outlineLevel="2">
      <c r="B851" s="76"/>
      <c r="C851" s="7" t="s">
        <v>116</v>
      </c>
      <c r="F851" s="116"/>
      <c r="G851" s="70" t="s">
        <v>133</v>
      </c>
      <c r="H851" s="117" t="s">
        <v>1052</v>
      </c>
    </row>
    <row r="852" spans="2:8" ht="45" hidden="1" outlineLevel="2">
      <c r="B852" s="76"/>
      <c r="C852" s="7" t="s">
        <v>116</v>
      </c>
      <c r="F852" s="116"/>
      <c r="G852" s="70" t="s">
        <v>134</v>
      </c>
      <c r="H852" s="117" t="s">
        <v>1083</v>
      </c>
    </row>
    <row r="853" spans="2:8" hidden="1" outlineLevel="2">
      <c r="B853" s="12" t="s">
        <v>1084</v>
      </c>
      <c r="C853" s="9" t="str">
        <f>IF(OR('1. Criteria &amp; Spec Matrix'!E224='3. Dropdowns'!C267,'1. Criteria &amp; Spec Matrix'!E224=""),"Show","Hide")</f>
        <v>Show</v>
      </c>
      <c r="F853" s="116"/>
      <c r="G853" s="70" t="s">
        <v>135</v>
      </c>
      <c r="H853" s="117" t="s">
        <v>1085</v>
      </c>
    </row>
    <row r="854" spans="2:8" ht="30" hidden="1" outlineLevel="2">
      <c r="B854" s="12" t="s">
        <v>1089</v>
      </c>
      <c r="C854" s="9" t="str">
        <f>IF(OR('1. Criteria &amp; Spec Matrix'!E225="",'1. Criteria &amp; Spec Matrix'!E225='3. Dropdowns'!C269,'1. Criteria &amp; Spec Matrix'!E225='3. Dropdowns'!C270),"Show","Hide")</f>
        <v>Show</v>
      </c>
      <c r="F854" s="116"/>
      <c r="G854" s="70" t="str">
        <f>CHAR(99+COUNTIF($C$852:C853,"Show")) &amp; "."</f>
        <v>d.</v>
      </c>
      <c r="H854" s="117" t="s">
        <v>1088</v>
      </c>
    </row>
    <row r="855" spans="2:8" hidden="1" outlineLevel="2">
      <c r="B855" s="12" t="s">
        <v>1090</v>
      </c>
      <c r="C855" s="9" t="str">
        <f>IF(OR('1. Criteria &amp; Spec Matrix'!E226='3. Dropdowns'!C271,'1. Criteria &amp; Spec Matrix'!E226=""),"Show","Hide")</f>
        <v>Show</v>
      </c>
      <c r="F855" s="116"/>
      <c r="G855" s="70" t="str">
        <f>CHAR(99+COUNTIF($C$852:C854,"Show")) &amp; "."</f>
        <v>e.</v>
      </c>
      <c r="H855" s="117" t="s">
        <v>2556</v>
      </c>
    </row>
    <row r="856" spans="2:8" ht="30" hidden="1" outlineLevel="2">
      <c r="B856" s="12" t="s">
        <v>1092</v>
      </c>
      <c r="C856" s="9" t="str">
        <f>IF('1. Criteria &amp; Spec Matrix'!E226='3. Dropdowns'!C271,"Hide","Show")</f>
        <v>Show</v>
      </c>
      <c r="F856" s="116"/>
      <c r="G856" s="70" t="str">
        <f>CHAR(99+COUNTIF($C$852:C855,"Show")) &amp; "."</f>
        <v>f.</v>
      </c>
      <c r="H856" s="117" t="s">
        <v>1091</v>
      </c>
    </row>
    <row r="857" spans="2:8" ht="30" hidden="1" outlineLevel="2">
      <c r="B857" s="12" t="s">
        <v>1093</v>
      </c>
      <c r="C857" s="9" t="str">
        <f>IF(OR('1. Criteria &amp; Spec Matrix'!E226='3. Dropdowns'!C273,'1. Criteria &amp; Spec Matrix'!E226='3. Dropdowns'!C276,'1. Criteria &amp; Spec Matrix'!E226='3. Dropdowns'!C277,'1. Criteria &amp; Spec Matrix'!E226='3. Dropdowns'!C279,'1. Criteria &amp; Spec Matrix'!E226=""),"Show","Hide")</f>
        <v>Show</v>
      </c>
      <c r="F857" s="116"/>
      <c r="G857" s="70" t="str">
        <f>CHAR(99+COUNTIF($C$852:C856,"Show")) &amp; "."</f>
        <v>g.</v>
      </c>
      <c r="H857" s="117" t="s">
        <v>1094</v>
      </c>
    </row>
    <row r="858" spans="2:8" ht="30" hidden="1" outlineLevel="2">
      <c r="B858" s="12" t="s">
        <v>1096</v>
      </c>
      <c r="C858" s="9" t="str">
        <f>IF(OR('1. Criteria &amp; Spec Matrix'!E227='3. Dropdowns'!C281,'1. Criteria &amp; Spec Matrix'!E227=""),"Show","Hide")</f>
        <v>Show</v>
      </c>
      <c r="F858" s="116"/>
      <c r="G858" s="70" t="str">
        <f>CHAR(99+COUNTIF($C$852:C857,"Show")) &amp; "."</f>
        <v>h.</v>
      </c>
      <c r="H858" s="117" t="s">
        <v>1095</v>
      </c>
    </row>
    <row r="859" spans="2:8" hidden="1" outlineLevel="2">
      <c r="B859" s="76"/>
      <c r="C859" s="7" t="s">
        <v>116</v>
      </c>
      <c r="F859" s="116"/>
      <c r="G859" s="70" t="str">
        <f>CHAR(99+COUNTIF($C$852:C858,"Show")) &amp; "."</f>
        <v>i.</v>
      </c>
      <c r="H859" s="117" t="s">
        <v>1097</v>
      </c>
    </row>
    <row r="860" spans="2:8" hidden="1" outlineLevel="2">
      <c r="B860" s="76"/>
      <c r="C860" s="7" t="s">
        <v>116</v>
      </c>
      <c r="F860" s="116"/>
      <c r="G860" s="70" t="str">
        <f>CHAR(100+COUNTIF($C$852:C859,"Show")) &amp; "."</f>
        <v>j.</v>
      </c>
      <c r="H860" s="117" t="s">
        <v>1098</v>
      </c>
    </row>
    <row r="861" spans="2:8" ht="30" hidden="1" outlineLevel="2">
      <c r="B861" s="76"/>
      <c r="C861" s="7" t="s">
        <v>116</v>
      </c>
      <c r="F861" s="116"/>
      <c r="G861" s="70" t="str">
        <f>CHAR(101+COUNTIF($C$852:C860,"Show")) &amp; "."</f>
        <v>k.</v>
      </c>
      <c r="H861" s="117" t="s">
        <v>1099</v>
      </c>
    </row>
    <row r="862" spans="2:8" ht="30" hidden="1" outlineLevel="2">
      <c r="B862" s="12" t="s">
        <v>1100</v>
      </c>
      <c r="C862" s="9" t="str">
        <f>IF(OR('1. Criteria &amp; Spec Matrix'!E230='3. Dropdowns'!C291,'1. Criteria &amp; Spec Matrix'!E230=""),"Show","Hide")</f>
        <v>Show</v>
      </c>
      <c r="F862" s="116"/>
      <c r="G862" s="70" t="str">
        <f>CHAR(102+COUNTIF($C$852:C861,"Show")) &amp; "."</f>
        <v>l.</v>
      </c>
      <c r="H862" s="117" t="s">
        <v>1102</v>
      </c>
    </row>
    <row r="863" spans="2:8" ht="30" hidden="1" outlineLevel="2">
      <c r="B863" s="12" t="s">
        <v>1101</v>
      </c>
      <c r="C863" s="9" t="str">
        <f>IF(OR('1. Criteria &amp; Spec Matrix'!E230='3. Dropdowns'!C294,'1. Criteria &amp; Spec Matrix'!E230=""),"Show","Hide")</f>
        <v>Show</v>
      </c>
      <c r="F863" s="116"/>
      <c r="G863" s="70" t="str">
        <f>CHAR(102+COUNTIF($C$852:C862,"Show")) &amp; "."</f>
        <v>m.</v>
      </c>
      <c r="H863" s="117" t="s">
        <v>1103</v>
      </c>
    </row>
    <row r="864" spans="2:8" hidden="1" outlineLevel="2">
      <c r="B864" s="76"/>
      <c r="C864" s="7" t="s">
        <v>116</v>
      </c>
      <c r="F864" s="116"/>
      <c r="G864" s="70" t="str">
        <f>CHAR(102+COUNTIF($C$852:C863,"Show")) &amp; "."</f>
        <v>n.</v>
      </c>
      <c r="H864" s="117" t="s">
        <v>1104</v>
      </c>
    </row>
    <row r="865" spans="2:8" ht="45" hidden="1" outlineLevel="2">
      <c r="B865" s="76"/>
      <c r="C865" s="7" t="s">
        <v>116</v>
      </c>
      <c r="F865" s="116"/>
      <c r="G865" s="70" t="str">
        <f>CHAR(103+COUNTIF($C$852:C864,"Show")) &amp; "."</f>
        <v>o.</v>
      </c>
      <c r="H865" s="117" t="s">
        <v>1105</v>
      </c>
    </row>
    <row r="866" spans="2:8" hidden="1" outlineLevel="2">
      <c r="B866" s="12" t="s">
        <v>1107</v>
      </c>
      <c r="C866" s="9" t="str">
        <f>IF(OR('1. Criteria &amp; Spec Matrix'!E232="",'1. Criteria &amp; Spec Matrix'!D232='3. Dropdowns'!C297,'1. Criteria &amp; Spec Matrix'!D232='3. Dropdowns'!C298),"Show","Hide")</f>
        <v>Show</v>
      </c>
      <c r="F866" s="116"/>
      <c r="G866" s="70"/>
      <c r="H866" s="117" t="s">
        <v>1106</v>
      </c>
    </row>
    <row r="867" spans="2:8" hidden="1" outlineLevel="2">
      <c r="B867" s="12" t="s">
        <v>1108</v>
      </c>
      <c r="C867" s="9" t="str">
        <f>IF('1. Criteria &amp; Spec Matrix'!E233='3. Dropdowns'!C299,"Hide","Show")</f>
        <v>Show</v>
      </c>
      <c r="F867" s="116"/>
      <c r="G867" s="70" t="str">
        <f>IF(C866="Show",CHAR(103+COUNTIF($C$852:C866,"Show")) &amp; ".",CHAR(104+COUNTIF($C$852:C866,"Show")) &amp; ".")</f>
        <v>p.</v>
      </c>
      <c r="H867" s="117" t="s">
        <v>1109</v>
      </c>
    </row>
    <row r="868" spans="2:8" hidden="1" outlineLevel="2">
      <c r="B868" s="12" t="s">
        <v>1165</v>
      </c>
      <c r="C868" s="9" t="str">
        <f>C869</f>
        <v>Show</v>
      </c>
      <c r="F868" s="119" t="str">
        <f>(F850+1)&amp;"."</f>
        <v>4.</v>
      </c>
      <c r="G868" s="71" t="s">
        <v>1163</v>
      </c>
      <c r="H868" s="117"/>
    </row>
    <row r="869" spans="2:8" hidden="1" outlineLevel="2">
      <c r="B869" s="12" t="s">
        <v>1165</v>
      </c>
      <c r="C869" s="9" t="str">
        <f>IF(OR('1. Criteria &amp; Spec Matrix'!E234='3. Dropdowns'!C302,'1. Criteria &amp; Spec Matrix'!E234=""),"Show","Hide")</f>
        <v>Show</v>
      </c>
      <c r="F869" s="116"/>
      <c r="G869" s="70" t="s">
        <v>133</v>
      </c>
      <c r="H869" s="117" t="str">
        <f>IF('1. Criteria &amp; Spec Matrix'!F5='3. Dropdowns'!C12,"Photos documenting recycling and composting storage equipment and signage, per DSNY requirements.","Photos documenting recycling storage equipment and signage.")</f>
        <v>Photos documenting recycling storage equipment and signage.</v>
      </c>
    </row>
    <row r="870" spans="2:8" hidden="1" outlineLevel="2">
      <c r="B870" s="76"/>
      <c r="C870" s="7" t="s">
        <v>116</v>
      </c>
      <c r="E870" s="104" t="str">
        <f>CHAR(68+COUNTIF(C648,"Show")+COUNTIF(C736,"Show"))&amp; "."</f>
        <v>F.</v>
      </c>
      <c r="F870" s="120" t="s">
        <v>1175</v>
      </c>
      <c r="G870" s="70"/>
      <c r="H870" s="117"/>
    </row>
    <row r="871" spans="2:8" hidden="1" outlineLevel="2">
      <c r="B871" s="76" t="s">
        <v>2559</v>
      </c>
      <c r="C871" s="7" t="str">
        <f>IF(COUNTIF(C872:C877,"Show")&gt;0,"Show","Hide")</f>
        <v>Show</v>
      </c>
      <c r="F871" s="121" t="s">
        <v>121</v>
      </c>
      <c r="G871" s="12" t="s">
        <v>1176</v>
      </c>
      <c r="H871" s="117"/>
    </row>
    <row r="872" spans="2:8" ht="30" hidden="1" outlineLevel="2">
      <c r="B872" s="12" t="s">
        <v>1177</v>
      </c>
      <c r="C872" s="9" t="str">
        <f>IF('1. Criteria &amp; Spec Matrix'!E236='3. Dropdowns'!C306,"Show",IF(AND('1. Criteria &amp; Spec Matrix'!C236="Show",'1. Criteria &amp; Spec Matrix'!E236=""),"Show","Hide"))</f>
        <v>Show</v>
      </c>
      <c r="F872" s="121"/>
      <c r="G872" s="70" t="s">
        <v>133</v>
      </c>
      <c r="H872" s="117" t="s">
        <v>1180</v>
      </c>
    </row>
    <row r="873" spans="2:8" ht="135.94999999999999" hidden="1" customHeight="1" outlineLevel="2">
      <c r="B873" s="12" t="s">
        <v>1179</v>
      </c>
      <c r="C873" s="9" t="str">
        <f>IF(OR('1. Criteria &amp; Spec Matrix'!E236='3. Dropdowns'!C305,'1. Criteria &amp; Spec Matrix'!E236=""),"Show","Hide")</f>
        <v>Show</v>
      </c>
      <c r="F873" s="121"/>
      <c r="G873" s="70" t="str">
        <f>CHAR(97+COUNTIF($C$872:C872,"Show")) &amp; "."</f>
        <v>b.</v>
      </c>
      <c r="H873" s="117" t="s">
        <v>3104</v>
      </c>
    </row>
    <row r="874" spans="2:8" ht="60" hidden="1" outlineLevel="2">
      <c r="B874" s="12" t="s">
        <v>1181</v>
      </c>
      <c r="C874" s="9" t="str">
        <f>IF(AND('1. Criteria &amp; Spec Matrix'!C237="Show",NOT('1. Criteria &amp; Spec Matrix'!D7='3. Dropdowns'!C17)),"Show","Hide")</f>
        <v>Show</v>
      </c>
      <c r="F874" s="121"/>
      <c r="G874" s="70" t="str">
        <f>CHAR(97+COUNTIF($C$872:C873,"Show")) &amp; "."</f>
        <v>c.</v>
      </c>
      <c r="H874" s="117" t="s">
        <v>1183</v>
      </c>
    </row>
    <row r="875" spans="2:8" ht="60" hidden="1" outlineLevel="2">
      <c r="B875" s="12" t="s">
        <v>1182</v>
      </c>
      <c r="C875" s="9" t="str">
        <f>IF(AND('1. Criteria &amp; Spec Matrix'!C237="Show",'1. Criteria &amp; Spec Matrix'!D7='3. Dropdowns'!C17),"Show",
IF(AND('1. Criteria &amp; Spec Matrix'!C237="Show",'1. Criteria &amp; Spec Matrix'!D7=""),"Show","Hide"))</f>
        <v>Show</v>
      </c>
      <c r="F875" s="121"/>
      <c r="G875" s="70" t="str">
        <f>CHAR(97+COUNTIF($C$872:C874,"Show")) &amp; "."</f>
        <v>d.</v>
      </c>
      <c r="H875" s="117" t="s">
        <v>1184</v>
      </c>
    </row>
    <row r="876" spans="2:8" ht="60" hidden="1" customHeight="1" outlineLevel="2">
      <c r="B876" s="12" t="s">
        <v>1181</v>
      </c>
      <c r="C876" s="9" t="str">
        <f>C874</f>
        <v>Show</v>
      </c>
      <c r="F876" s="121"/>
      <c r="G876" s="70" t="str">
        <f>CHAR(97+COUNTIF($C$872:C875,"Show")) &amp; "."</f>
        <v>e.</v>
      </c>
      <c r="H876" s="117" t="s">
        <v>1186</v>
      </c>
    </row>
    <row r="877" spans="2:8" ht="60" hidden="1" customHeight="1" outlineLevel="2">
      <c r="B877" s="12" t="s">
        <v>1182</v>
      </c>
      <c r="C877" s="9" t="str">
        <f>C875</f>
        <v>Show</v>
      </c>
      <c r="F877" s="121"/>
      <c r="G877" s="70" t="str">
        <f>CHAR(97+COUNTIF($C$872:C876,"Show")) &amp; "."</f>
        <v>f.</v>
      </c>
      <c r="H877" s="117" t="s">
        <v>1187</v>
      </c>
    </row>
    <row r="878" spans="2:8" hidden="1" outlineLevel="2">
      <c r="B878" s="12" t="s">
        <v>1197</v>
      </c>
      <c r="C878" s="7" t="str">
        <f>IF(COUNTIF(C879:C884,"Show")&gt;0,"Show","Hide")</f>
        <v>Show</v>
      </c>
      <c r="F878" s="78" t="str">
        <f>IF(C878="Show",(F871+1)&amp;".",F871)</f>
        <v>2.</v>
      </c>
      <c r="G878" s="71" t="s">
        <v>1196</v>
      </c>
      <c r="H878" s="117"/>
    </row>
    <row r="879" spans="2:8" hidden="1" outlineLevel="2">
      <c r="B879" s="12" t="s">
        <v>1197</v>
      </c>
      <c r="C879" s="9" t="str">
        <f>IF(OR('1. Criteria &amp; Spec Matrix'!E238='3. Dropdowns'!C306,'1. Criteria &amp; Spec Matrix'!E239='3. Dropdowns'!C309),"Show",IF('1. Criteria &amp; Spec Matrix'!E238="","Show",IF(AND('1. Criteria &amp; Spec Matrix'!C239="Show",'1. Criteria &amp; Spec Matrix'!E239=""),"Show","Hide")))</f>
        <v>Show</v>
      </c>
      <c r="F879" s="121"/>
      <c r="G879" s="70" t="s">
        <v>133</v>
      </c>
      <c r="H879" s="117" t="s">
        <v>2748</v>
      </c>
    </row>
    <row r="880" spans="2:8" ht="30" hidden="1" outlineLevel="2">
      <c r="B880" s="12" t="s">
        <v>1197</v>
      </c>
      <c r="C880" s="9" t="str">
        <f>C879</f>
        <v>Show</v>
      </c>
      <c r="F880" s="121"/>
      <c r="G880" s="70" t="str">
        <f>CHAR(97+COUNTIF($C$879:C879,"Show")) &amp; "."</f>
        <v>b.</v>
      </c>
      <c r="H880" s="117" t="s">
        <v>1201</v>
      </c>
    </row>
    <row r="881" spans="2:8" ht="30" hidden="1" outlineLevel="2">
      <c r="B881" s="12" t="s">
        <v>1199</v>
      </c>
      <c r="C881" s="9" t="str">
        <f>IF('1. Criteria &amp; Spec Matrix'!E239='3. Dropdowns'!C309,"Show",IF(AND('1. Criteria &amp; Spec Matrix'!C239="Show",'1. Criteria &amp; Spec Matrix'!E239=""),"Show","Hide"))</f>
        <v>Show</v>
      </c>
      <c r="F881" s="121"/>
      <c r="G881" s="70" t="str">
        <f>CHAR(97+COUNTIF($C$879:C880,"Show")) &amp; "."</f>
        <v>c.</v>
      </c>
      <c r="H881" s="117" t="s">
        <v>1198</v>
      </c>
    </row>
    <row r="882" spans="2:8" hidden="1" outlineLevel="2">
      <c r="B882" s="76"/>
      <c r="C882" s="7" t="s">
        <v>116</v>
      </c>
      <c r="F882" s="121" t="str">
        <f>(1+COUNTIF(C871,"Show")+COUNTIF(C878,"Show")) &amp; "."</f>
        <v>3.</v>
      </c>
      <c r="G882" s="71" t="s">
        <v>1208</v>
      </c>
      <c r="H882" s="117"/>
    </row>
    <row r="883" spans="2:8" ht="30" hidden="1" outlineLevel="2">
      <c r="B883" s="76"/>
      <c r="C883" s="7" t="s">
        <v>116</v>
      </c>
      <c r="F883" s="121"/>
      <c r="G883" s="70" t="s">
        <v>133</v>
      </c>
      <c r="H883" s="117" t="s">
        <v>1211</v>
      </c>
    </row>
    <row r="884" spans="2:8" hidden="1" outlineLevel="2">
      <c r="B884" s="12" t="s">
        <v>1212</v>
      </c>
      <c r="C884" s="9" t="str">
        <f>IF(OR('1. Criteria &amp; Spec Matrix'!E240='3. Dropdowns'!C314,'1. Criteria &amp; Spec Matrix'!E240='3. Dropdowns'!C315,'1. Criteria &amp; Spec Matrix'!E240='3. Dropdowns'!C316,'1. Criteria &amp; Spec Matrix'!E240=""),"Show",
IF(OR('1. Criteria &amp; Spec Matrix'!E238='3. Dropdowns'!C306,'1. Criteria &amp; Spec Matrix'!E239='3. Dropdowns'!C309),"Show","Hide"))</f>
        <v>Show</v>
      </c>
      <c r="F884" s="116"/>
      <c r="G884" s="70" t="s">
        <v>134</v>
      </c>
      <c r="H884" s="117" t="s">
        <v>2748</v>
      </c>
    </row>
    <row r="885" spans="2:8" hidden="1" outlineLevel="2">
      <c r="B885" s="12" t="s">
        <v>1260</v>
      </c>
      <c r="C885" s="7" t="str">
        <f>IF(COUNTIF(C886:C891,"Show")&gt;0,"Show","Hide")</f>
        <v>Show</v>
      </c>
      <c r="F885" s="121" t="str">
        <f>(2+COUNTIF(C871,"Show")+COUNTIF(C878,"Show")) &amp; "."</f>
        <v>4.</v>
      </c>
      <c r="G885" s="71" t="s">
        <v>1259</v>
      </c>
      <c r="H885" s="117"/>
    </row>
    <row r="886" spans="2:8" hidden="1" outlineLevel="2">
      <c r="B886" s="12" t="s">
        <v>1261</v>
      </c>
      <c r="C886" s="9" t="str">
        <f>IF(OR('1. Criteria &amp; Spec Matrix'!C242="Show",'1. Criteria &amp; Spec Matrix'!E243='3. Dropdowns'!C318,'1. Criteria &amp; Spec Matrix'!E243='3. Dropdowns'!C321,'1. Criteria &amp; Spec Matrix'!E243='3. Dropdowns'!C322,'1. Criteria &amp; Spec Matrix'!E243='3. Dropdowns'!C324),"Show",
IF(AND('1. Criteria &amp; Spec Matrix'!C243="Show",'1. Criteria &amp; Spec Matrix'!E243=""),"Show","Hide"))</f>
        <v>Show</v>
      </c>
      <c r="F886" s="116"/>
      <c r="G886" s="70" t="s">
        <v>133</v>
      </c>
      <c r="H886" s="117" t="s">
        <v>2749</v>
      </c>
    </row>
    <row r="887" spans="2:8" ht="45" hidden="1" outlineLevel="2">
      <c r="B887" s="12" t="s">
        <v>1262</v>
      </c>
      <c r="C887" s="9" t="str">
        <f>IF(AND('1. Criteria &amp; Spec Matrix'!C242="Show",OR('1. Criteria &amp; Spec Matrix'!E190='3. Dropdowns'!C193,'1. Criteria &amp; Spec Matrix'!E190='3. Dropdowns'!C194,'1. Criteria &amp; Spec Matrix'!E190='3. Dropdowns'!C195,'1. Criteria &amp; Spec Matrix'!E190='3. Dropdowns'!C196)),"Show",
IF(AND('1. Criteria &amp; Spec Matrix'!C243="Show",OR('1. Criteria &amp; Spec Matrix'!E190='3. Dropdowns'!C193,'1. Criteria &amp; Spec Matrix'!E190='3. Dropdowns'!C194,'1. Criteria &amp; Spec Matrix'!E190='3. Dropdowns'!C195,'1. Criteria &amp; Spec Matrix'!E190='3. Dropdowns'!C196),OR('1. Criteria &amp; Spec Matrix'!E243='3. Dropdowns'!C318,'1. Criteria &amp; Spec Matrix'!E243='3. Dropdowns'!C321,'1. Criteria &amp; Spec Matrix'!E243='3. Dropdowns'!C322,'1. Criteria &amp; Spec Matrix'!E243='3. Dropdowns'!C324)),"Show",
IF(OR('1. Criteria &amp; Spec Matrix'!E190="",AND('1. Criteria &amp; Spec Matrix'!C243="Show",'1. Criteria &amp; Spec Matrix'!E243="")),"Show","Hide")))</f>
        <v>Show</v>
      </c>
      <c r="F887" s="116"/>
      <c r="G887" s="70"/>
      <c r="H887" s="117" t="s">
        <v>2560</v>
      </c>
    </row>
    <row r="888" spans="2:8" ht="30" hidden="1" outlineLevel="2">
      <c r="B888" s="12" t="s">
        <v>1263</v>
      </c>
      <c r="C888" s="9" t="str">
        <f>IF(OR('1. Criteria &amp; Spec Matrix'!C242="Show",'1. Criteria &amp; Spec Matrix'!E243='3. Dropdowns'!C319,'1. Criteria &amp; Spec Matrix'!E243='3. Dropdowns'!C321,'1. Criteria &amp; Spec Matrix'!E243='3. Dropdowns'!C323,'1. Criteria &amp; Spec Matrix'!E243='3. Dropdowns'!C324),"Show",
IF(AND('1. Criteria &amp; Spec Matrix'!C243="Show",'1. Criteria &amp; Spec Matrix'!E243=""),"Show","Hide"))</f>
        <v>Show</v>
      </c>
      <c r="F888" s="116"/>
      <c r="G888" s="70" t="str">
        <f>IF(C887="Show",CHAR(96+COUNTIF($C$886:C887,"Show")) &amp; ".",CHAR(97+COUNTIF($C$886:C887,"Show")) &amp; ".")</f>
        <v>b.</v>
      </c>
      <c r="H888" s="117" t="s">
        <v>2750</v>
      </c>
    </row>
    <row r="889" spans="2:8" hidden="1" outlineLevel="2">
      <c r="B889" s="12" t="s">
        <v>1264</v>
      </c>
      <c r="C889" s="9" t="str">
        <f>IF(OR('1. Criteria &amp; Spec Matrix'!C242="Show",'1. Criteria &amp; Spec Matrix'!E243='3. Dropdowns'!C320,'1. Criteria &amp; Spec Matrix'!E243='3. Dropdowns'!C322,'1. Criteria &amp; Spec Matrix'!E243='3. Dropdowns'!C323,'1. Criteria &amp; Spec Matrix'!E243='3. Dropdowns'!C324),"Show",
IF(AND('1. Criteria &amp; Spec Matrix'!C243="Show",'1. Criteria &amp; Spec Matrix'!E243=""),"Show","Hide"))</f>
        <v>Show</v>
      </c>
      <c r="F889" s="116"/>
      <c r="G889" s="70" t="str">
        <f>IF(C888="Show",CHAR(96+COUNTIF($C$886:C888,"Show")) &amp; ".",CHAR(97+COUNTIF($C$886:C888,"Show")) &amp; ".")</f>
        <v>c.</v>
      </c>
      <c r="H889" s="117" t="s">
        <v>2751</v>
      </c>
    </row>
    <row r="890" spans="2:8" ht="30" hidden="1" outlineLevel="2">
      <c r="B890" s="12" t="s">
        <v>1265</v>
      </c>
      <c r="C890" s="9" t="str">
        <f>IF(AND('1. Criteria &amp; Spec Matrix'!C242="Show",OR('1. Criteria &amp; Spec Matrix'!D7='3. Dropdowns'!C19,'1. Criteria &amp; Spec Matrix'!D7='3. Dropdowns'!C19),'1. Criteria &amp; Spec Matrix'!E244='3. Dropdowns'!C326,),"Show",
IF(AND('1. Criteria &amp; Spec Matrix'!C244="Show",'1. Criteria &amp; Spec Matrix'!E244=""),"Show","Hide"))</f>
        <v>Show</v>
      </c>
      <c r="F890" s="116"/>
      <c r="G890" s="70" t="str">
        <f>IF(C889="Show",CHAR(96+COUNTIF($C$886:C889,"Show")) &amp; ".",CHAR(97+COUNTIF($C$886:C889,"Show")) &amp; ".")</f>
        <v>d.</v>
      </c>
      <c r="H890" s="117" t="s">
        <v>2752</v>
      </c>
    </row>
    <row r="891" spans="2:8" ht="30" hidden="1" outlineLevel="2">
      <c r="B891" s="12" t="s">
        <v>2625</v>
      </c>
      <c r="C891" s="9" t="str">
        <f>IF('1. Criteria &amp; Spec Matrix'!C242="Show","Show",IF(AND('1. Criteria &amp; Spec Matrix'!C243="Show",NOT('1. Criteria &amp; Spec Matrix'!E243='3. Dropdowns'!C317)),"Show",IF(AND('1. Criteria &amp; Spec Matrix'!C244="Show",OR('1. Criteria &amp; Spec Matrix'!E244='3. Dropdowns'!C326,'1. Criteria &amp; Spec Matrix'!E244="")),"Show","Hide")))</f>
        <v>Show</v>
      </c>
      <c r="F891" s="116"/>
      <c r="G891" s="70" t="str">
        <f>IF(C890="Show",CHAR(96+COUNTIF($C$886:C890,"Show")) &amp; ".",CHAR(97+COUNTIF($C$886:C890,"Show")) &amp; ".")</f>
        <v>e.</v>
      </c>
      <c r="H891" s="117" t="s">
        <v>1267</v>
      </c>
    </row>
    <row r="892" spans="2:8" hidden="1" outlineLevel="2">
      <c r="B892" s="12" t="s">
        <v>1283</v>
      </c>
      <c r="C892" s="9" t="str">
        <f>C893</f>
        <v>Show</v>
      </c>
      <c r="F892" s="121" t="str">
        <f>(2+COUNTIF(C871,"Show")+COUNTIF(C878,"Show")+COUNTIF(C885,"Show")) &amp; "."</f>
        <v>5.</v>
      </c>
      <c r="G892" s="71" t="s">
        <v>1281</v>
      </c>
      <c r="H892" s="117"/>
    </row>
    <row r="893" spans="2:8" hidden="1" outlineLevel="2">
      <c r="B893" s="12" t="s">
        <v>1283</v>
      </c>
      <c r="C893" s="9" t="str">
        <f>IF('1. Criteria &amp; Spec Matrix'!E245='3. Dropdowns'!C328,"Hide","Show")</f>
        <v>Show</v>
      </c>
      <c r="F893" s="116"/>
      <c r="G893" s="70" t="s">
        <v>133</v>
      </c>
      <c r="H893" s="117" t="s">
        <v>1282</v>
      </c>
    </row>
    <row r="894" spans="2:8" hidden="1" outlineLevel="2">
      <c r="B894" s="12" t="s">
        <v>1289</v>
      </c>
      <c r="C894" s="9" t="str">
        <f>C895</f>
        <v>Show</v>
      </c>
      <c r="F894" s="121" t="str">
        <f>(2+COUNTIF(C871,"Show")+COUNTIF(C878,"Show")+COUNTIF(C885,"Show")+COUNTIF(C892,"Show")) &amp; "."</f>
        <v>6.</v>
      </c>
      <c r="G894" s="71" t="s">
        <v>1288</v>
      </c>
      <c r="H894" s="117"/>
    </row>
    <row r="895" spans="2:8" ht="30" hidden="1" outlineLevel="2">
      <c r="B895" s="12" t="s">
        <v>1289</v>
      </c>
      <c r="C895" s="9" t="str">
        <f>IF(OR('1. Criteria &amp; Spec Matrix'!E246='3. Dropdowns'!C331,'1. Criteria &amp; Spec Matrix'!E246=""),"Show","Hide")</f>
        <v>Show</v>
      </c>
      <c r="F895" s="121"/>
      <c r="G895" s="71" t="s">
        <v>133</v>
      </c>
      <c r="H895" s="117" t="s">
        <v>1290</v>
      </c>
    </row>
    <row r="896" spans="2:8" hidden="1" outlineLevel="2">
      <c r="B896" s="12" t="s">
        <v>1300</v>
      </c>
      <c r="C896" s="7" t="str">
        <f>IF(COUNTIF(C897:C903,"Show")&gt;0,"Show","Hide")</f>
        <v>Show</v>
      </c>
      <c r="F896" s="121" t="str">
        <f>(2+COUNTIF(C871,"Show")+COUNTIF(C878,"Show")+COUNTIF(C885,"Show")+COUNTIF(C892,"Show")+COUNTIF(C894,"Show")) &amp; "."</f>
        <v>7.</v>
      </c>
      <c r="G896" s="71" t="s">
        <v>1299</v>
      </c>
      <c r="H896" s="117"/>
    </row>
    <row r="897" spans="2:8" hidden="1" outlineLevel="2">
      <c r="B897" s="12" t="s">
        <v>1301</v>
      </c>
      <c r="C897" s="9" t="str">
        <f>IF(OR('1. Criteria &amp; Spec Matrix'!E247='3. Dropdowns'!C332,AND('1. Criteria &amp; Spec Matrix'!C247="Show",'1. Criteria &amp; Spec Matrix'!E247="")),"Show",
IF(OR('1. Criteria &amp; Spec Matrix'!E248='3. Dropdowns'!C337,AND('1. Criteria &amp; Spec Matrix'!C248="Show",'1. Criteria &amp; Spec Matrix'!E248="")),"Show","Hide"))</f>
        <v>Show</v>
      </c>
      <c r="F897" s="121"/>
      <c r="G897" s="70" t="s">
        <v>133</v>
      </c>
      <c r="H897" s="117" t="s">
        <v>1302</v>
      </c>
    </row>
    <row r="898" spans="2:8" ht="30" hidden="1" outlineLevel="2">
      <c r="B898" s="12" t="s">
        <v>1303</v>
      </c>
      <c r="C898" s="9" t="str">
        <f>IF(OR('1. Criteria &amp; Spec Matrix'!E247='3. Dropdowns'!C333,AND('1. Criteria &amp; Spec Matrix'!C247="Show",'1. Criteria &amp; Spec Matrix'!E247="")),"Show",
IF(OR('1. Criteria &amp; Spec Matrix'!E248='3. Dropdowns'!C338,AND('1. Criteria &amp; Spec Matrix'!C248="Show",'1. Criteria &amp; Spec Matrix'!E248="")),"Show","Hide"))</f>
        <v>Show</v>
      </c>
      <c r="F898" s="121"/>
      <c r="G898" s="70" t="str">
        <f>CHAR(97+COUNTIF($C$897:C897,"Show")) &amp; "."</f>
        <v>b.</v>
      </c>
      <c r="H898" s="117" t="s">
        <v>1304</v>
      </c>
    </row>
    <row r="899" spans="2:8" ht="30" hidden="1" outlineLevel="2">
      <c r="B899" s="12" t="s">
        <v>1305</v>
      </c>
      <c r="C899" s="9" t="str">
        <f>IF(OR('1. Criteria &amp; Spec Matrix'!E247='3. Dropdowns'!C334,AND('1. Criteria &amp; Spec Matrix'!C247="Show",'1. Criteria &amp; Spec Matrix'!E247="")),"Show",
IF(OR('1. Criteria &amp; Spec Matrix'!E248='3. Dropdowns'!C339,AND('1. Criteria &amp; Spec Matrix'!C248="Show",'1. Criteria &amp; Spec Matrix'!E248="")),"Show","Hide"))</f>
        <v>Show</v>
      </c>
      <c r="F899" s="121"/>
      <c r="G899" s="70" t="str">
        <f>CHAR(97+COUNTIF($C$897:C898,"Show")) &amp; "."</f>
        <v>c.</v>
      </c>
      <c r="H899" s="117" t="s">
        <v>1306</v>
      </c>
    </row>
    <row r="900" spans="2:8" ht="45" hidden="1" outlineLevel="2">
      <c r="B900" s="12" t="s">
        <v>1305</v>
      </c>
      <c r="C900" s="9" t="str">
        <f>C899</f>
        <v>Show</v>
      </c>
      <c r="F900" s="121"/>
      <c r="G900" s="70" t="str">
        <f>CHAR(97+COUNTIF($C$897:C899,"Show")) &amp; "."</f>
        <v>d.</v>
      </c>
      <c r="H900" s="117" t="s">
        <v>1307</v>
      </c>
    </row>
    <row r="901" spans="2:8" ht="45" hidden="1" outlineLevel="2">
      <c r="B901" s="12" t="s">
        <v>1305</v>
      </c>
      <c r="C901" s="9" t="str">
        <f>C899</f>
        <v>Show</v>
      </c>
      <c r="F901" s="116"/>
      <c r="G901" s="70" t="str">
        <f>CHAR(97+COUNTIF($C$897:C900,"Show")) &amp; "."</f>
        <v>e.</v>
      </c>
      <c r="H901" s="117" t="s">
        <v>1308</v>
      </c>
    </row>
    <row r="902" spans="2:8" ht="30" hidden="1" outlineLevel="2">
      <c r="B902" s="12" t="s">
        <v>1305</v>
      </c>
      <c r="C902" s="9" t="str">
        <f>C899</f>
        <v>Show</v>
      </c>
      <c r="F902" s="116"/>
      <c r="G902" s="70" t="str">
        <f>CHAR(97+COUNTIF($C$897:C901,"Show")) &amp; "."</f>
        <v>f.</v>
      </c>
      <c r="H902" s="117" t="s">
        <v>1309</v>
      </c>
    </row>
    <row r="903" spans="2:8" ht="30" hidden="1" outlineLevel="2">
      <c r="B903" s="12" t="s">
        <v>1305</v>
      </c>
      <c r="C903" s="9" t="str">
        <f>C899</f>
        <v>Show</v>
      </c>
      <c r="F903" s="116"/>
      <c r="G903" s="70" t="str">
        <f>CHAR(97+COUNTIF($C$897:C902,"Show")) &amp; "."</f>
        <v>g.</v>
      </c>
      <c r="H903" s="152" t="s">
        <v>1310</v>
      </c>
    </row>
    <row r="904" spans="2:8" hidden="1" outlineLevel="2">
      <c r="B904" s="76" t="s">
        <v>1326</v>
      </c>
      <c r="C904" s="9" t="str">
        <f>C905</f>
        <v>Show</v>
      </c>
      <c r="F904" s="121" t="str">
        <f>(2+COUNTIF(C871,"Show")+COUNTIF(C878,"Show")+COUNTIF(C885,"Show")+COUNTIF(C892,"Show")+COUNTIF(C894,"Show")+COUNTIF(C896,"Show")) &amp; "."</f>
        <v>8.</v>
      </c>
      <c r="G904" s="71" t="s">
        <v>1325</v>
      </c>
      <c r="H904" s="117"/>
    </row>
    <row r="905" spans="2:8" hidden="1" outlineLevel="2">
      <c r="B905" s="76" t="s">
        <v>1326</v>
      </c>
      <c r="C905" s="9" t="str">
        <f>'1. Criteria &amp; Spec Matrix'!C249</f>
        <v>Show</v>
      </c>
      <c r="F905" s="116"/>
      <c r="G905" s="70" t="s">
        <v>133</v>
      </c>
      <c r="H905" s="117" t="s">
        <v>1327</v>
      </c>
    </row>
    <row r="906" spans="2:8" hidden="1" outlineLevel="2">
      <c r="B906" s="12" t="s">
        <v>753</v>
      </c>
      <c r="C906" s="9" t="str">
        <f>C907</f>
        <v>Show</v>
      </c>
      <c r="F906" s="121" t="str">
        <f>(2+COUNTIF(C871,"Show")+COUNTIF(C878,"Show")+COUNTIF(C885,"Show")+COUNTIF(C892,"Show")+COUNTIF(C894,"Show")+COUNTIF(C896,"Show")+COUNTIF(C904,"Show")) &amp; "."</f>
        <v>9.</v>
      </c>
      <c r="G906" s="71" t="s">
        <v>1337</v>
      </c>
      <c r="H906" s="117"/>
    </row>
    <row r="907" spans="2:8" ht="30" hidden="1" outlineLevel="2">
      <c r="B907" s="12" t="s">
        <v>753</v>
      </c>
      <c r="C907" s="9" t="str">
        <f>'1. Criteria &amp; Spec Matrix'!C250</f>
        <v>Show</v>
      </c>
      <c r="F907" s="116"/>
      <c r="G907" s="70" t="s">
        <v>133</v>
      </c>
      <c r="H907" s="117" t="s">
        <v>1338</v>
      </c>
    </row>
    <row r="908" spans="2:8" hidden="1" outlineLevel="2">
      <c r="B908" s="12" t="s">
        <v>2561</v>
      </c>
      <c r="C908" s="9" t="str">
        <f>IF('1. Criteria &amp; Spec Matrix'!C251="Show","Show",IF(OR('1. Criteria &amp; Spec Matrix'!E252='3. Dropdowns'!C343,'1. Criteria &amp; Spec Matrix'!E252='3. Dropdowns'!C344),"Show",IF(AND('1. Criteria &amp; Spec Matrix'!C252="Show",'1. Criteria &amp; Spec Matrix'!E252=""),"Show","Hide")))</f>
        <v>Show</v>
      </c>
      <c r="F908" s="121" t="str">
        <f>(2+COUNTIF(C871,"Show")+COUNTIF(C878,"Show")+COUNTIF(C885,"Show")+COUNTIF(C892,"Show")+COUNTIF(C894,"Show")+COUNTIF(C896,"Show")+COUNTIF(C904,"Show")+COUNTIF(C906,"Show")) &amp; "."</f>
        <v>10.</v>
      </c>
      <c r="G908" s="71" t="s">
        <v>1349</v>
      </c>
      <c r="H908" s="117"/>
    </row>
    <row r="909" spans="2:8" ht="30" hidden="1" outlineLevel="2">
      <c r="B909" s="12" t="s">
        <v>2561</v>
      </c>
      <c r="C909" s="9" t="str">
        <f>C908</f>
        <v>Show</v>
      </c>
      <c r="F909" s="116"/>
      <c r="G909" s="70" t="s">
        <v>133</v>
      </c>
      <c r="H909" s="117" t="s">
        <v>1351</v>
      </c>
    </row>
    <row r="910" spans="2:8" hidden="1" outlineLevel="2">
      <c r="B910" s="76"/>
      <c r="C910" s="7" t="s">
        <v>116</v>
      </c>
      <c r="F910" s="121" t="str">
        <f>(2+COUNTIF(C871,"Show")+COUNTIF(C878,"Show")+COUNTIF(C885,"Show")+COUNTIF(C892,"Show")+COUNTIF(C894,"Show")+COUNTIF(C896,"Show")+COUNTIF(C904,"Show")+COUNTIF(C906,"Show")+COUNTIF(C908,"Show")) &amp; "."</f>
        <v>11.</v>
      </c>
      <c r="G910" s="71" t="s">
        <v>1360</v>
      </c>
      <c r="H910" s="117"/>
    </row>
    <row r="911" spans="2:8" ht="45" hidden="1" outlineLevel="2">
      <c r="B911" s="76"/>
      <c r="C911" s="7" t="s">
        <v>116</v>
      </c>
      <c r="F911" s="116"/>
      <c r="G911" s="70" t="s">
        <v>133</v>
      </c>
      <c r="H911" s="117" t="s">
        <v>1361</v>
      </c>
    </row>
    <row r="912" spans="2:8" hidden="1" outlineLevel="2">
      <c r="B912" s="12" t="s">
        <v>836</v>
      </c>
      <c r="C912" s="7" t="str">
        <f>IF(COUNTIF(C913:C916,"Show")&gt;0,"Show","Hide")</f>
        <v>Show</v>
      </c>
      <c r="F912" s="121" t="str">
        <f>(3+COUNTIF(C871,"Show")+COUNTIF(C878,"Show")+COUNTIF(C885,"Show")+COUNTIF(C892,"Show")+COUNTIF(C894,"Show")+COUNTIF(C896,"Show")+COUNTIF(C904,"Show")+COUNTIF(C906,"Show")+COUNTIF(C908,"Show")) &amp; "."</f>
        <v>12.</v>
      </c>
      <c r="G912" s="71" t="s">
        <v>1403</v>
      </c>
      <c r="H912" s="117"/>
    </row>
    <row r="913" spans="2:8" ht="30" hidden="1" outlineLevel="2">
      <c r="B913" s="12" t="s">
        <v>1371</v>
      </c>
      <c r="C913" s="9" t="str">
        <f>IF(OR('1. Criteria &amp; Spec Matrix'!E254='3. Dropdowns'!C348,'1. Criteria &amp; Spec Matrix'!E254='3. Dropdowns'!C350,AND('1. Criteria &amp; Spec Matrix'!C254="Show",'1. Criteria &amp; Spec Matrix'!E254="")),"Show","Hide")</f>
        <v>Show</v>
      </c>
      <c r="F913" s="116"/>
      <c r="G913" s="70" t="s">
        <v>133</v>
      </c>
      <c r="H913" s="117" t="s">
        <v>2753</v>
      </c>
    </row>
    <row r="914" spans="2:8" ht="30" hidden="1" outlineLevel="2">
      <c r="B914" s="12" t="s">
        <v>1371</v>
      </c>
      <c r="C914" s="9" t="str">
        <f>C913</f>
        <v>Show</v>
      </c>
      <c r="F914" s="116"/>
      <c r="G914" s="70" t="str">
        <f>CHAR(97+COUNTIF($C$913:C913,"Show")) &amp; "."</f>
        <v>b.</v>
      </c>
      <c r="H914" s="117" t="s">
        <v>2754</v>
      </c>
    </row>
    <row r="915" spans="2:8" ht="30" hidden="1" outlineLevel="2">
      <c r="B915" s="12" t="s">
        <v>1372</v>
      </c>
      <c r="C915" s="9" t="str">
        <f>IF(OR('1. Criteria &amp; Spec Matrix'!E254='3. Dropdowns'!C349,'1. Criteria &amp; Spec Matrix'!E254='3. Dropdowns'!C350,AND('1. Criteria &amp; Spec Matrix'!C254="Show",'1. Criteria &amp; Spec Matrix'!E254="")),"Show","Hide")</f>
        <v>Show</v>
      </c>
      <c r="F915" s="116"/>
      <c r="G915" s="70" t="str">
        <f>CHAR(97+COUNTIF($C$913:C914,"Show")) &amp; "."</f>
        <v>c.</v>
      </c>
      <c r="H915" s="117" t="s">
        <v>2755</v>
      </c>
    </row>
    <row r="916" spans="2:8" ht="30" hidden="1" outlineLevel="2">
      <c r="B916" s="12" t="s">
        <v>1372</v>
      </c>
      <c r="C916" s="9" t="str">
        <f>C915</f>
        <v>Show</v>
      </c>
      <c r="F916" s="116"/>
      <c r="G916" s="70" t="str">
        <f>CHAR(97+COUNTIF($C$913:C915,"Show")) &amp; "."</f>
        <v>d.</v>
      </c>
      <c r="H916" s="117" t="s">
        <v>2756</v>
      </c>
    </row>
    <row r="917" spans="2:8" hidden="1" outlineLevel="2">
      <c r="B917" s="12" t="s">
        <v>1379</v>
      </c>
      <c r="C917" s="7" t="str">
        <f>IF(COUNTIF(C918:C923,"Show")&gt;0,"Show","Hide")</f>
        <v>Show</v>
      </c>
      <c r="F917" s="121" t="str">
        <f>(3+COUNTIF(C871,"Show")+COUNTIF(C878,"Show")+COUNTIF(C885,"Show")+COUNTIF(C892,"Show")+COUNTIF(C894,"Show")+COUNTIF(C896,"Show")+COUNTIF(C904,"Show")+COUNTIF(C906,"Show")+COUNTIF(C908,"Show")+COUNTIF(C912,"Show")) &amp; "."</f>
        <v>13.</v>
      </c>
      <c r="G917" s="71" t="s">
        <v>2952</v>
      </c>
      <c r="H917" s="117"/>
    </row>
    <row r="918" spans="2:8" ht="30" hidden="1" outlineLevel="2">
      <c r="B918" s="12" t="s">
        <v>1380</v>
      </c>
      <c r="C918" s="9" t="str">
        <f>IF(OR('1. Criteria &amp; Spec Matrix'!E255='3. Dropdowns'!C352,AND('1. Criteria &amp; Spec Matrix'!C255="Show",'1. Criteria &amp; Spec Matrix'!E255="")),"Show","Hide")</f>
        <v>Show</v>
      </c>
      <c r="F918" s="116"/>
      <c r="G918" s="70" t="s">
        <v>133</v>
      </c>
      <c r="H918" s="75" t="s">
        <v>1383</v>
      </c>
    </row>
    <row r="919" spans="2:8" ht="30" hidden="1" outlineLevel="2">
      <c r="B919" s="12" t="s">
        <v>1381</v>
      </c>
      <c r="C919" s="9" t="str">
        <f>IF(OR('1. Criteria &amp; Spec Matrix'!E255='3. Dropdowns'!C353,AND('1. Criteria &amp; Spec Matrix'!C255="Show",'1. Criteria &amp; Spec Matrix'!E255="")),"Show","Hide")</f>
        <v>Show</v>
      </c>
      <c r="F919" s="116"/>
      <c r="G919" s="70" t="str">
        <f>CHAR(97+COUNTIF($C$918:C918,"Show")) &amp; "."</f>
        <v>b.</v>
      </c>
      <c r="H919" s="117" t="s">
        <v>2753</v>
      </c>
    </row>
    <row r="920" spans="2:8" ht="30" hidden="1" outlineLevel="2">
      <c r="B920" s="12" t="s">
        <v>1381</v>
      </c>
      <c r="C920" s="9" t="str">
        <f>C919</f>
        <v>Show</v>
      </c>
      <c r="F920" s="116"/>
      <c r="G920" s="70" t="str">
        <f>CHAR(97+COUNTIF($C$918:C919,"Show")) &amp; "."</f>
        <v>c.</v>
      </c>
      <c r="H920" s="117" t="s">
        <v>2754</v>
      </c>
    </row>
    <row r="921" spans="2:8" ht="30" hidden="1" outlineLevel="2">
      <c r="B921" s="12" t="s">
        <v>1382</v>
      </c>
      <c r="C921" s="9" t="str">
        <f>IF(OR('1. Criteria &amp; Spec Matrix'!E255='3. Dropdowns'!C354,AND('1. Criteria &amp; Spec Matrix'!C255="Show",'1. Criteria &amp; Spec Matrix'!E255="")),"Show","Hide")</f>
        <v>Show</v>
      </c>
      <c r="F921" s="116"/>
      <c r="G921" s="70" t="str">
        <f>CHAR(97+COUNTIF($C$918:C920,"Show")) &amp; "."</f>
        <v>d.</v>
      </c>
      <c r="H921" s="117" t="s">
        <v>2753</v>
      </c>
    </row>
    <row r="922" spans="2:8" ht="30" hidden="1" outlineLevel="2">
      <c r="B922" s="12" t="s">
        <v>1382</v>
      </c>
      <c r="C922" s="9" t="str">
        <f>C921</f>
        <v>Show</v>
      </c>
      <c r="F922" s="116"/>
      <c r="G922" s="70" t="str">
        <f>CHAR(97+COUNTIF($C$918:C921,"Show")) &amp; "."</f>
        <v>e.</v>
      </c>
      <c r="H922" s="117" t="s">
        <v>2754</v>
      </c>
    </row>
    <row r="923" spans="2:8" ht="30" hidden="1" outlineLevel="2">
      <c r="B923" s="12" t="s">
        <v>1384</v>
      </c>
      <c r="C923" s="9" t="str">
        <f>IF(OR('1. Criteria &amp; Spec Matrix'!E255='3. Dropdowns'!C355,'1. Criteria &amp; Spec Matrix'!E255='3. Dropdowns'!C356,AND('1. Criteria &amp; Spec Matrix'!C255="Show",'1. Criteria &amp; Spec Matrix'!E255="")),"Show","Hide")</f>
        <v>Show</v>
      </c>
      <c r="F923" s="116"/>
      <c r="G923" s="70" t="str">
        <f>CHAR(97+COUNTIF($C$918:C922,"Show")) &amp; "."</f>
        <v>f.</v>
      </c>
      <c r="H923" s="117" t="s">
        <v>1385</v>
      </c>
    </row>
    <row r="924" spans="2:8" hidden="1" outlineLevel="2">
      <c r="B924" s="12" t="s">
        <v>1399</v>
      </c>
      <c r="C924" s="7" t="str">
        <f>IF(COUNTIF(C925:C928,"Show")&gt;0,"Show","Hide")</f>
        <v>Show</v>
      </c>
      <c r="F924" s="121" t="str">
        <f>(3+COUNTIF(C871,"Show")+COUNTIF(C878,"Show")+COUNTIF(C885,"Show")+COUNTIF(C892,"Show")+COUNTIF(C894,"Show")+COUNTIF(C896,"Show")+COUNTIF(C904,"Show")+COUNTIF(C906,"Show")+COUNTIF(C908,"Show")+COUNTIF(C912,"Show")+COUNTIF(C917,"Show")) &amp; "."</f>
        <v>14.</v>
      </c>
      <c r="G924" s="71" t="s">
        <v>1402</v>
      </c>
      <c r="H924" s="117"/>
    </row>
    <row r="925" spans="2:8" ht="30" hidden="1" outlineLevel="2">
      <c r="B925" s="12" t="s">
        <v>1405</v>
      </c>
      <c r="C925" s="2" t="str">
        <f>IF(OR('1. Criteria &amp; Spec Matrix'!E258='3. Dropdowns'!C357,AND('1. Criteria &amp; Spec Matrix'!C258="Show",'1. Criteria &amp; Spec Matrix'!E258="")),"Show","Hide")</f>
        <v>Show</v>
      </c>
      <c r="F925" s="116"/>
      <c r="G925" s="70" t="s">
        <v>133</v>
      </c>
      <c r="H925" s="75" t="s">
        <v>1406</v>
      </c>
    </row>
    <row r="926" spans="2:8" hidden="1" outlineLevel="2">
      <c r="B926" s="12" t="s">
        <v>1410</v>
      </c>
      <c r="C926" s="2" t="str">
        <f>IF(OR('1. Criteria &amp; Spec Matrix'!E264='3. Dropdowns'!C357,AND('1. Criteria &amp; Spec Matrix'!C264="Show",'1. Criteria &amp; Spec Matrix'!E264="")),"Show","Hide")</f>
        <v>Show</v>
      </c>
      <c r="F926" s="116"/>
      <c r="G926" s="70" t="str">
        <f>CHAR(97+COUNTIF($C$925:C925,"Show")) &amp; "."</f>
        <v>b.</v>
      </c>
      <c r="H926" s="75" t="s">
        <v>1411</v>
      </c>
    </row>
    <row r="927" spans="2:8" hidden="1" outlineLevel="2">
      <c r="B927" s="12" t="s">
        <v>1414</v>
      </c>
      <c r="C927" s="2" t="str">
        <f>IF(OR('1. Criteria &amp; Spec Matrix'!E265='3. Dropdowns'!C359,AND('1. Criteria &amp; Spec Matrix'!C265="Show",'1. Criteria &amp; Spec Matrix'!E265="")),"Show","Hide")</f>
        <v>Show</v>
      </c>
      <c r="F927" s="116"/>
      <c r="G927" s="70" t="str">
        <f>CHAR(97+COUNTIF($C$925:C926,"Show")) &amp; "."</f>
        <v>c.</v>
      </c>
      <c r="H927" s="75" t="s">
        <v>1415</v>
      </c>
    </row>
    <row r="928" spans="2:8" hidden="1" outlineLevel="2">
      <c r="B928" s="12" t="s">
        <v>1416</v>
      </c>
      <c r="C928" s="2" t="str">
        <f>IF(OR('1. Criteria &amp; Spec Matrix'!E265='3. Dropdowns'!C360,AND('1. Criteria &amp; Spec Matrix'!C265="Show",'1. Criteria &amp; Spec Matrix'!E265="")),"Show","Hide")</f>
        <v>Show</v>
      </c>
      <c r="F928" s="116"/>
      <c r="G928" s="70" t="str">
        <f>CHAR(97+COUNTIF($C$925:C927,"Show")) &amp; "."</f>
        <v>d.</v>
      </c>
      <c r="H928" s="75" t="s">
        <v>1417</v>
      </c>
    </row>
    <row r="929" spans="2:8" hidden="1" outlineLevel="2">
      <c r="B929" s="76" t="s">
        <v>2579</v>
      </c>
      <c r="C929" s="7" t="str">
        <f>IF(COUNTIF(C930:C942,"Show")&gt;0,"Show","Hide")</f>
        <v>Show</v>
      </c>
      <c r="F929" s="121" t="str">
        <f>(3+COUNTIF(C871,"Show")+COUNTIF(C878,"Show")+COUNTIF(C885,"Show")+COUNTIF(C892,"Show")+COUNTIF(C894,"Show")+COUNTIF(C896,"Show")+COUNTIF(C904,"Show")+COUNTIF(C906,"Show")+COUNTIF(C908,"Show")+COUNTIF(C912,"Show")+COUNTIF(C917,"Show")+COUNTIF(C924,"Show")) &amp; "."</f>
        <v>15.</v>
      </c>
      <c r="G929" s="71" t="s">
        <v>1446</v>
      </c>
    </row>
    <row r="930" spans="2:8" hidden="1" outlineLevel="2">
      <c r="B930" s="12" t="s">
        <v>1431</v>
      </c>
      <c r="C930" s="2" t="str">
        <f>IF('1. Criteria &amp; Spec Matrix'!E267='3. Dropdowns'!C369,"Hide","Show")</f>
        <v>Show</v>
      </c>
      <c r="F930" s="121"/>
      <c r="G930" s="122" t="s">
        <v>133</v>
      </c>
      <c r="H930" s="75" t="s">
        <v>2757</v>
      </c>
    </row>
    <row r="931" spans="2:8" hidden="1" outlineLevel="2">
      <c r="B931" s="12" t="s">
        <v>1433</v>
      </c>
      <c r="C931" s="2" t="str">
        <f>IF('1. Criteria &amp; Spec Matrix'!E268='3. Dropdowns'!C369,"Hide","Show")</f>
        <v>Show</v>
      </c>
      <c r="F931" s="121"/>
      <c r="G931" s="70" t="str">
        <f>CHAR(97+COUNTIF($C$930:C930,"Show")) &amp; "."</f>
        <v>b.</v>
      </c>
      <c r="H931" s="75" t="s">
        <v>2758</v>
      </c>
    </row>
    <row r="932" spans="2:8" hidden="1" outlineLevel="2">
      <c r="B932" s="12" t="s">
        <v>1434</v>
      </c>
      <c r="C932" s="2" t="str">
        <f>IF('1. Criteria &amp; Spec Matrix'!E270='3. Dropdowns'!C369,"Hide","Show")</f>
        <v>Show</v>
      </c>
      <c r="F932" s="121"/>
      <c r="G932" s="70" t="str">
        <f>CHAR(97+COUNTIF($C$930:C931,"Show")) &amp; "."</f>
        <v>c.</v>
      </c>
      <c r="H932" s="75" t="s">
        <v>1447</v>
      </c>
    </row>
    <row r="933" spans="2:8" hidden="1" outlineLevel="2">
      <c r="B933" s="12" t="s">
        <v>1435</v>
      </c>
      <c r="C933" s="2" t="str">
        <f>IF('1. Criteria &amp; Spec Matrix'!E272='3. Dropdowns'!C369,"Hide","Show")</f>
        <v>Show</v>
      </c>
      <c r="F933" s="121"/>
      <c r="G933" s="70" t="str">
        <f>CHAR(97+COUNTIF($C$930:C932,"Show")) &amp; "."</f>
        <v>d.</v>
      </c>
      <c r="H933" s="75" t="s">
        <v>1448</v>
      </c>
    </row>
    <row r="934" spans="2:8" ht="30" hidden="1" outlineLevel="2">
      <c r="B934" s="12" t="s">
        <v>1437</v>
      </c>
      <c r="C934" s="2" t="str">
        <f>IF('1. Criteria &amp; Spec Matrix'!E274='3. Dropdowns'!C369,"Hide","Show")</f>
        <v>Show</v>
      </c>
      <c r="F934" s="121"/>
      <c r="G934" s="70" t="str">
        <f>CHAR(97+COUNTIF($C$930:C933,"Show")) &amp; "."</f>
        <v>e.</v>
      </c>
      <c r="H934" s="75" t="s">
        <v>2759</v>
      </c>
    </row>
    <row r="935" spans="2:8" hidden="1" outlineLevel="2">
      <c r="B935" s="12" t="s">
        <v>1438</v>
      </c>
      <c r="C935" s="2" t="str">
        <f>IF('1. Criteria &amp; Spec Matrix'!E275='3. Dropdowns'!C369,"Hide","Show")</f>
        <v>Show</v>
      </c>
      <c r="F935" s="121"/>
      <c r="G935" s="70" t="str">
        <f>CHAR(97+COUNTIF($C$930:C934,"Show")) &amp; "."</f>
        <v>f.</v>
      </c>
      <c r="H935" s="75" t="s">
        <v>1449</v>
      </c>
    </row>
    <row r="936" spans="2:8" hidden="1" outlineLevel="2">
      <c r="B936" s="12" t="s">
        <v>1439</v>
      </c>
      <c r="C936" s="2" t="str">
        <f>IF('1. Criteria &amp; Spec Matrix'!E276='3. Dropdowns'!C369,"Hide","Show")</f>
        <v>Show</v>
      </c>
      <c r="F936" s="121"/>
      <c r="G936" s="70" t="str">
        <f>CHAR(97+COUNTIF($C$930:C935,"Show")) &amp; "."</f>
        <v>g.</v>
      </c>
      <c r="H936" s="75" t="s">
        <v>1450</v>
      </c>
    </row>
    <row r="937" spans="2:8" hidden="1" outlineLevel="2">
      <c r="B937" s="12" t="s">
        <v>1440</v>
      </c>
      <c r="C937" s="2" t="str">
        <f>IF('1. Criteria &amp; Spec Matrix'!E277='3. Dropdowns'!C369,"Hide","Show")</f>
        <v>Show</v>
      </c>
      <c r="F937" s="121"/>
      <c r="G937" s="70" t="str">
        <f>CHAR(97+COUNTIF($C$930:C936,"Show")) &amp; "."</f>
        <v>h.</v>
      </c>
      <c r="H937" s="75" t="s">
        <v>2760</v>
      </c>
    </row>
    <row r="938" spans="2:8" hidden="1" outlineLevel="2">
      <c r="B938" s="12" t="s">
        <v>1441</v>
      </c>
      <c r="C938" s="2" t="str">
        <f>IF('1. Criteria &amp; Spec Matrix'!E278='3. Dropdowns'!C369,"Hide","Show")</f>
        <v>Show</v>
      </c>
      <c r="F938" s="121"/>
      <c r="G938" s="70" t="str">
        <f>CHAR(97+COUNTIF($C$930:C937,"Show")) &amp; "."</f>
        <v>i.</v>
      </c>
      <c r="H938" s="75" t="s">
        <v>1451</v>
      </c>
    </row>
    <row r="939" spans="2:8" hidden="1" outlineLevel="2">
      <c r="B939" s="12" t="s">
        <v>1441</v>
      </c>
      <c r="C939" s="2" t="str">
        <f>C938</f>
        <v>Show</v>
      </c>
      <c r="F939" s="121"/>
      <c r="G939" s="70" t="str">
        <f>CHAR(97+COUNTIF($C$930:C938,"Show")) &amp; "."</f>
        <v>j.</v>
      </c>
      <c r="H939" s="75" t="s">
        <v>1452</v>
      </c>
    </row>
    <row r="940" spans="2:8" hidden="1" outlineLevel="2">
      <c r="B940" s="12" t="s">
        <v>1441</v>
      </c>
      <c r="C940" s="2" t="str">
        <f>C938</f>
        <v>Show</v>
      </c>
      <c r="F940" s="121"/>
      <c r="G940" s="70" t="str">
        <f>CHAR(97+COUNTIF($C$930:C939,"Show")) &amp; "."</f>
        <v>k.</v>
      </c>
      <c r="H940" s="75" t="s">
        <v>1453</v>
      </c>
    </row>
    <row r="941" spans="2:8" hidden="1" outlineLevel="2">
      <c r="B941" s="12" t="s">
        <v>1441</v>
      </c>
      <c r="C941" s="2" t="str">
        <f>C938</f>
        <v>Show</v>
      </c>
      <c r="F941" s="121"/>
      <c r="G941" s="70" t="str">
        <f>CHAR(97+COUNTIF($C$930:C940,"Show")) &amp; "."</f>
        <v>l.</v>
      </c>
      <c r="H941" s="75" t="s">
        <v>1454</v>
      </c>
    </row>
    <row r="942" spans="2:8" ht="30" hidden="1" outlineLevel="2">
      <c r="B942" s="12" t="s">
        <v>1444</v>
      </c>
      <c r="C942" s="2" t="str">
        <f>IF('1. Criteria &amp; Spec Matrix'!E282='3. Dropdowns'!C369,"Hide","Show")</f>
        <v>Show</v>
      </c>
      <c r="F942" s="116"/>
      <c r="G942" s="70" t="str">
        <f>CHAR(97+COUNTIF($C$930:C941,"Show")) &amp; "."</f>
        <v>m.</v>
      </c>
      <c r="H942" s="75" t="s">
        <v>2761</v>
      </c>
    </row>
    <row r="943" spans="2:8" hidden="1" outlineLevel="2">
      <c r="B943" s="12" t="s">
        <v>1488</v>
      </c>
      <c r="C943" s="7" t="str">
        <f>IF(COUNTIF(C944:C946,"Show")&gt;0,"Show","Hide")</f>
        <v>Show</v>
      </c>
      <c r="F943" s="121" t="str">
        <f>(3+COUNTIF(C871,"Show")+COUNTIF(C878,"Show")+COUNTIF(C885,"Show")+COUNTIF(C892,"Show")+COUNTIF(C894,"Show")+COUNTIF(C896,"Show")+COUNTIF(C904,"Show")+COUNTIF(C906,"Show")+COUNTIF(C908,"Show")+COUNTIF(C912,"Show")+COUNTIF(C917,"Show")+COUNTIF(C924,"Show")+COUNTIF(C929,"Show")) &amp; "."</f>
        <v>16.</v>
      </c>
      <c r="G943" s="71" t="s">
        <v>1487</v>
      </c>
    </row>
    <row r="944" spans="2:8" hidden="1" outlineLevel="2">
      <c r="B944" s="12" t="s">
        <v>1482</v>
      </c>
      <c r="C944" s="2" t="str">
        <f>IF('1. Criteria &amp; Spec Matrix'!E283='3. Dropdowns'!C364,"Hide",IF(AND('1. Criteria &amp; Spec Matrix'!C286="Show",'1. Criteria &amp; Spec Matrix'!E284='3. Dropdowns'!C369),"Hide","Show"))</f>
        <v>Show</v>
      </c>
      <c r="F944" s="116"/>
      <c r="G944" s="70" t="s">
        <v>133</v>
      </c>
      <c r="H944" s="75" t="s">
        <v>1489</v>
      </c>
    </row>
    <row r="945" spans="2:8" ht="30" hidden="1" outlineLevel="2">
      <c r="B945" s="12" t="s">
        <v>1485</v>
      </c>
      <c r="C945" s="2" t="str">
        <f>IF('1. Criteria &amp; Spec Matrix'!E283='3. Dropdowns'!C364,"Hide",IF(AND('1. Criteria &amp; Spec Matrix'!C290="Show",'1. Criteria &amp; Spec Matrix'!E284='3. Dropdowns'!C369),"Hide","Show"))</f>
        <v>Show</v>
      </c>
      <c r="F945" s="116"/>
      <c r="G945" s="70" t="str">
        <f>CHAR(97+COUNTIF($C$944:C944,"Show")) &amp; "."</f>
        <v>b.</v>
      </c>
      <c r="H945" s="75" t="s">
        <v>1490</v>
      </c>
    </row>
    <row r="946" spans="2:8" hidden="1" outlineLevel="2">
      <c r="B946" s="12" t="s">
        <v>1486</v>
      </c>
      <c r="C946" s="2" t="str">
        <f>IF('1. Criteria &amp; Spec Matrix'!E283='3. Dropdowns'!C364,"Hide",IF(AND('1. Criteria &amp; Spec Matrix'!C291="Show",'1. Criteria &amp; Spec Matrix'!E284='3. Dropdowns'!C369),"Hide","Show"))</f>
        <v>Show</v>
      </c>
      <c r="F946" s="116"/>
      <c r="G946" s="70" t="str">
        <f>CHAR(97+COUNTIF($C$944:C945,"Show")) &amp; "."</f>
        <v>c.</v>
      </c>
      <c r="H946" s="75" t="s">
        <v>1491</v>
      </c>
    </row>
    <row r="947" spans="2:8" hidden="1" outlineLevel="2">
      <c r="B947" s="12" t="s">
        <v>1506</v>
      </c>
      <c r="C947" s="7" t="str">
        <f>IF(COUNTIF(C948:C949,"Show")&gt;0,"Show","Hide")</f>
        <v>Show</v>
      </c>
      <c r="F947" s="121" t="str">
        <f>(3+COUNTIF(C871,"Show")+COUNTIF(C878,"Show")+COUNTIF(C885,"Show")+COUNTIF(C892,"Show")+COUNTIF(C894,"Show")+COUNTIF(C896,"Show")+COUNTIF(C904,"Show")+COUNTIF(C906,"Show")+COUNTIF(C908,"Show")+COUNTIF(C912,"Show")+COUNTIF(C917,"Show")+COUNTIF(C924,"Show")+COUNTIF(C929,"Show")+COUNTIF(C943,"Show")) &amp; "."</f>
        <v>17.</v>
      </c>
      <c r="G947" s="71" t="s">
        <v>1520</v>
      </c>
      <c r="H947" s="117"/>
    </row>
    <row r="948" spans="2:8" hidden="1" outlineLevel="2">
      <c r="B948" s="12" t="s">
        <v>1507</v>
      </c>
      <c r="C948" s="2" t="str">
        <f>IF(OR('1. Criteria &amp; Spec Matrix'!E293='3. Dropdowns'!C371,'1. Criteria &amp; Spec Matrix'!E293='3. Dropdowns'!C374,'1. Criteria &amp; Spec Matrix'!E293='3. Dropdowns'!C375,'1. Criteria &amp; Spec Matrix'!E293='3. Dropdowns'!C377,,'1. Criteria &amp; Spec Matrix'!E293=""),"Show","Hide")</f>
        <v>Show</v>
      </c>
      <c r="F948" s="116"/>
      <c r="G948" s="70" t="s">
        <v>133</v>
      </c>
      <c r="H948" s="117" t="s">
        <v>1509</v>
      </c>
    </row>
    <row r="949" spans="2:8" ht="30" hidden="1" outlineLevel="2">
      <c r="B949" s="12" t="s">
        <v>1508</v>
      </c>
      <c r="C949" s="2" t="str">
        <f>IF(OR('1. Criteria &amp; Spec Matrix'!E293='3. Dropdowns'!C372,'1. Criteria &amp; Spec Matrix'!E293='3. Dropdowns'!C374,'1. Criteria &amp; Spec Matrix'!E293='3. Dropdowns'!C376,'1. Criteria &amp; Spec Matrix'!E293='3. Dropdowns'!C377,,'1. Criteria &amp; Spec Matrix'!E293=""),"Show","Hide")</f>
        <v>Show</v>
      </c>
      <c r="F949" s="116"/>
      <c r="G949" s="70" t="str">
        <f>CHAR(97+COUNTIF($C$948:C948,"Show")) &amp; "."</f>
        <v>b.</v>
      </c>
      <c r="H949" s="117" t="s">
        <v>1510</v>
      </c>
    </row>
    <row r="950" spans="2:8" hidden="1" outlineLevel="2">
      <c r="B950" s="12" t="s">
        <v>1521</v>
      </c>
      <c r="C950" s="7" t="str">
        <f>IF(COUNTIF(C951:C954,"Show")&gt;0,"Show","Hide")</f>
        <v>Show</v>
      </c>
      <c r="F950" s="121" t="str">
        <f>(3+COUNTIF(C871,"Show")+COUNTIF(C878,"Show")+COUNTIF(C885,"Show")+COUNTIF(C892,"Show")+COUNTIF(C894,"Show")+COUNTIF(C896,"Show")+COUNTIF(C904,"Show")+COUNTIF(C906,"Show")+COUNTIF(C908,"Show")+COUNTIF(C912,"Show")+COUNTIF(C917,"Show")+COUNTIF(C924,"Show")+COUNTIF(C929,"Show")+COUNTIF(C943,"Show")+COUNTIF(C947,"Show")) &amp; "."</f>
        <v>18.</v>
      </c>
      <c r="G950" s="12" t="s">
        <v>1519</v>
      </c>
      <c r="H950" s="117"/>
    </row>
    <row r="951" spans="2:8" hidden="1" outlineLevel="2">
      <c r="B951" s="12" t="s">
        <v>1522</v>
      </c>
      <c r="C951" s="2" t="str">
        <f>IF(OR('1. Criteria &amp; Spec Matrix'!E294='3. Dropdowns'!C379,'1. Criteria &amp; Spec Matrix'!E294='3. Dropdowns'!C380,'1. Criteria &amp; Spec Matrix'!E294='3. Dropdowns'!C381,'1. Criteria &amp; Spec Matrix'!E294=""),"Show","Hide")</f>
        <v>Show</v>
      </c>
      <c r="F951" s="116"/>
      <c r="G951" s="70" t="s">
        <v>133</v>
      </c>
      <c r="H951" s="117" t="s">
        <v>1523</v>
      </c>
    </row>
    <row r="952" spans="2:8" hidden="1" outlineLevel="2">
      <c r="B952" s="12" t="s">
        <v>1524</v>
      </c>
      <c r="C952" s="2" t="str">
        <f>IF(OR('1. Criteria &amp; Spec Matrix'!E294="",'1. Criteria &amp; Spec Matrix'!E294='3. Dropdowns'!C379),"Show","Hide")</f>
        <v>Show</v>
      </c>
      <c r="F952" s="116"/>
      <c r="G952" s="70" t="str">
        <f>CHAR(97+COUNTIF($C$951:C951,"Show")) &amp; "."</f>
        <v>b.</v>
      </c>
      <c r="H952" s="117" t="s">
        <v>1527</v>
      </c>
    </row>
    <row r="953" spans="2:8" hidden="1" outlineLevel="2">
      <c r="B953" s="12" t="s">
        <v>1525</v>
      </c>
      <c r="C953" s="2" t="str">
        <f>IF(OR('1. Criteria &amp; Spec Matrix'!E294="",'1. Criteria &amp; Spec Matrix'!E294='3. Dropdowns'!C380),"Show","Hide")</f>
        <v>Show</v>
      </c>
      <c r="F953" s="116"/>
      <c r="G953" s="70" t="str">
        <f>CHAR(97+COUNTIF($C$951:C952,"Show")) &amp; "."</f>
        <v>c.</v>
      </c>
      <c r="H953" s="117" t="s">
        <v>1528</v>
      </c>
    </row>
    <row r="954" spans="2:8" hidden="1" outlineLevel="2">
      <c r="B954" s="12" t="s">
        <v>1526</v>
      </c>
      <c r="C954" s="2" t="str">
        <f>IF(OR('1. Criteria &amp; Spec Matrix'!E294="",'1. Criteria &amp; Spec Matrix'!E294='3. Dropdowns'!C382),"Show","Hide")</f>
        <v>Show</v>
      </c>
      <c r="F954" s="116"/>
      <c r="G954" s="70" t="str">
        <f>CHAR(97+COUNTIF($C$951:C953,"Show")) &amp; "."</f>
        <v>d.</v>
      </c>
      <c r="H954" s="117" t="s">
        <v>1529</v>
      </c>
    </row>
    <row r="955" spans="2:8" hidden="1" outlineLevel="2">
      <c r="B955" s="12" t="s">
        <v>1539</v>
      </c>
      <c r="C955" s="2" t="str">
        <f>'1. Criteria &amp; Spec Matrix'!C296</f>
        <v>Show</v>
      </c>
      <c r="E955" s="104" t="str">
        <f>CHAR(69+COUNTIF(C648,"Show")+COUNTIF(C736,"Show"))&amp; "."</f>
        <v>G.</v>
      </c>
      <c r="F955" s="120" t="s">
        <v>1540</v>
      </c>
      <c r="G955" s="70"/>
      <c r="H955" s="117"/>
    </row>
    <row r="956" spans="2:8" hidden="1" outlineLevel="2">
      <c r="B956" s="12" t="s">
        <v>1539</v>
      </c>
      <c r="C956" s="2" t="str">
        <f>C955</f>
        <v>Show</v>
      </c>
      <c r="F956" s="121" t="s">
        <v>121</v>
      </c>
      <c r="G956" s="71" t="s">
        <v>1541</v>
      </c>
      <c r="H956" s="117"/>
    </row>
    <row r="957" spans="2:8" ht="30" hidden="1" outlineLevel="2">
      <c r="B957" s="12" t="s">
        <v>1539</v>
      </c>
      <c r="C957" s="2" t="str">
        <f>C955</f>
        <v>Show</v>
      </c>
      <c r="F957" s="121"/>
      <c r="G957" s="71" t="s">
        <v>133</v>
      </c>
      <c r="H957" s="117" t="s">
        <v>1542</v>
      </c>
    </row>
    <row r="958" spans="2:8" ht="30" hidden="1" outlineLevel="2">
      <c r="B958" s="12" t="s">
        <v>1539</v>
      </c>
      <c r="C958" s="2" t="str">
        <f>C955</f>
        <v>Show</v>
      </c>
      <c r="F958" s="121"/>
      <c r="G958" s="71"/>
      <c r="H958" s="117" t="s">
        <v>1543</v>
      </c>
    </row>
    <row r="959" spans="2:8" ht="30" hidden="1" outlineLevel="2">
      <c r="B959" s="12" t="s">
        <v>1539</v>
      </c>
      <c r="C959" s="2" t="str">
        <f>C955</f>
        <v>Show</v>
      </c>
      <c r="F959" s="121"/>
      <c r="G959" s="71"/>
      <c r="H959" s="117" t="s">
        <v>1544</v>
      </c>
    </row>
    <row r="960" spans="2:8" hidden="1" outlineLevel="2">
      <c r="B960" s="12" t="s">
        <v>1539</v>
      </c>
      <c r="C960" s="2" t="str">
        <f>C955</f>
        <v>Show</v>
      </c>
      <c r="F960" s="121"/>
      <c r="G960" s="71"/>
      <c r="H960" s="117" t="s">
        <v>1545</v>
      </c>
    </row>
    <row r="961" spans="2:8" ht="75" hidden="1" outlineLevel="2">
      <c r="B961" s="12" t="s">
        <v>1539</v>
      </c>
      <c r="C961" s="2" t="str">
        <f>C955</f>
        <v>Show</v>
      </c>
      <c r="F961" s="121"/>
      <c r="G961" s="71"/>
      <c r="H961" s="117" t="s">
        <v>1546</v>
      </c>
    </row>
    <row r="962" spans="2:8" ht="30" hidden="1" outlineLevel="2">
      <c r="B962" s="12" t="s">
        <v>1539</v>
      </c>
      <c r="C962" s="2" t="str">
        <f>C955</f>
        <v>Show</v>
      </c>
      <c r="F962" s="121"/>
      <c r="G962" s="71"/>
      <c r="H962" s="117" t="s">
        <v>1547</v>
      </c>
    </row>
    <row r="963" spans="2:8" ht="45" hidden="1" outlineLevel="2">
      <c r="B963" s="12" t="s">
        <v>1539</v>
      </c>
      <c r="C963" s="2" t="str">
        <f>C955</f>
        <v>Show</v>
      </c>
      <c r="F963" s="121"/>
      <c r="G963" s="71"/>
      <c r="H963" s="117" t="s">
        <v>1548</v>
      </c>
    </row>
    <row r="964" spans="2:8" ht="30" hidden="1" outlineLevel="2">
      <c r="B964" s="12" t="s">
        <v>1539</v>
      </c>
      <c r="C964" s="2" t="str">
        <f>C955</f>
        <v>Show</v>
      </c>
      <c r="F964" s="121"/>
      <c r="G964" s="71"/>
      <c r="H964" s="117" t="s">
        <v>1549</v>
      </c>
    </row>
    <row r="965" spans="2:8" ht="60" hidden="1" outlineLevel="2">
      <c r="B965" s="12" t="s">
        <v>1539</v>
      </c>
      <c r="C965" s="2" t="str">
        <f>C955</f>
        <v>Show</v>
      </c>
      <c r="F965" s="121"/>
      <c r="G965" s="71"/>
      <c r="H965" s="117" t="s">
        <v>1550</v>
      </c>
    </row>
    <row r="966" spans="2:8" ht="30" hidden="1" outlineLevel="2">
      <c r="B966" s="12" t="s">
        <v>1539</v>
      </c>
      <c r="C966" s="2" t="str">
        <f>C955</f>
        <v>Show</v>
      </c>
      <c r="F966" s="121"/>
      <c r="G966" s="71"/>
      <c r="H966" s="117" t="s">
        <v>1551</v>
      </c>
    </row>
    <row r="967" spans="2:8" ht="45" hidden="1" outlineLevel="2">
      <c r="B967" s="12" t="s">
        <v>1539</v>
      </c>
      <c r="C967" s="2" t="str">
        <f>C955</f>
        <v>Show</v>
      </c>
      <c r="F967" s="121"/>
      <c r="G967" s="71"/>
      <c r="H967" s="117" t="s">
        <v>1552</v>
      </c>
    </row>
    <row r="968" spans="2:8" ht="30" hidden="1" outlineLevel="2">
      <c r="B968" s="12" t="s">
        <v>1539</v>
      </c>
      <c r="C968" s="2" t="str">
        <f>C955</f>
        <v>Show</v>
      </c>
      <c r="F968" s="121"/>
      <c r="G968" s="71"/>
      <c r="H968" s="117" t="s">
        <v>1553</v>
      </c>
    </row>
    <row r="969" spans="2:8" ht="30" hidden="1" outlineLevel="2">
      <c r="B969" s="12" t="s">
        <v>1539</v>
      </c>
      <c r="C969" s="2" t="str">
        <f>C955</f>
        <v>Show</v>
      </c>
      <c r="F969" s="121"/>
      <c r="G969" s="71"/>
      <c r="H969" s="75" t="s">
        <v>1554</v>
      </c>
    </row>
    <row r="970" spans="2:8" hidden="1" outlineLevel="2">
      <c r="B970" s="12" t="s">
        <v>1539</v>
      </c>
      <c r="C970" s="2" t="str">
        <f>C955</f>
        <v>Show</v>
      </c>
      <c r="F970" s="121" t="str">
        <f>(1+COUNTIF(C956,"Show")) &amp; "."</f>
        <v>2.</v>
      </c>
      <c r="G970" s="71" t="s">
        <v>1555</v>
      </c>
    </row>
    <row r="971" spans="2:8" ht="75" hidden="1" outlineLevel="2">
      <c r="B971" s="12" t="s">
        <v>1539</v>
      </c>
      <c r="C971" s="2" t="str">
        <f>C955</f>
        <v>Show</v>
      </c>
      <c r="F971" s="121"/>
      <c r="G971" s="71" t="s">
        <v>133</v>
      </c>
      <c r="H971" s="117" t="s">
        <v>1556</v>
      </c>
    </row>
    <row r="972" spans="2:8" hidden="1" outlineLevel="2">
      <c r="B972" s="12" t="s">
        <v>1539</v>
      </c>
      <c r="C972" s="2" t="str">
        <f>C955</f>
        <v>Show</v>
      </c>
      <c r="F972" s="121" t="str">
        <f>(1+COUNTIF(C956,"Show")+COUNTIF(C970,"Show")) &amp; "."</f>
        <v>3.</v>
      </c>
      <c r="G972" s="71" t="s">
        <v>1557</v>
      </c>
    </row>
    <row r="973" spans="2:8" ht="30" hidden="1" outlineLevel="2">
      <c r="B973" s="12" t="s">
        <v>1539</v>
      </c>
      <c r="C973" s="2" t="str">
        <f>C955</f>
        <v>Show</v>
      </c>
      <c r="F973" s="121"/>
      <c r="G973" s="71" t="s">
        <v>133</v>
      </c>
      <c r="H973" s="117" t="s">
        <v>1558</v>
      </c>
    </row>
    <row r="974" spans="2:8" hidden="1" outlineLevel="2">
      <c r="B974" s="12" t="s">
        <v>3064</v>
      </c>
      <c r="C974" s="2" t="str">
        <f>IF(OR('1. Criteria &amp; Spec Matrix'!E301='3. Dropdowns'!D388,'1. Criteria &amp; Spec Matrix'!E301='3. Dropdowns'!D389),"Hide",
IF('1. Criteria &amp; Spec Matrix'!E301='3. Dropdowns'!C383,"Hide",IF('1. Criteria &amp; Spec Matrix'!C301="Hide","Hide","Show")))</f>
        <v>Show</v>
      </c>
      <c r="F974" s="121" t="str">
        <f>(1+COUNTIF(C956,"Show")+COUNTIF(C970,"Show")+COUNTIF(C972,"Show")) &amp; "."</f>
        <v>4.</v>
      </c>
      <c r="G974" s="71" t="s">
        <v>1566</v>
      </c>
      <c r="H974" s="117"/>
    </row>
    <row r="975" spans="2:8" ht="45" hidden="1" outlineLevel="2">
      <c r="B975" s="12" t="s">
        <v>1567</v>
      </c>
      <c r="C975" s="2" t="str">
        <f>C974</f>
        <v>Show</v>
      </c>
      <c r="F975" s="121"/>
      <c r="G975" s="71" t="s">
        <v>133</v>
      </c>
      <c r="H975" s="117" t="s">
        <v>1565</v>
      </c>
    </row>
    <row r="976" spans="2:8" hidden="1" outlineLevel="2">
      <c r="B976" s="76"/>
      <c r="C976" s="7" t="s">
        <v>116</v>
      </c>
      <c r="F976" s="121"/>
      <c r="G976" s="71"/>
      <c r="H976" s="117"/>
    </row>
    <row r="977" spans="2:8" outlineLevel="1" collapsed="1">
      <c r="B977" s="76"/>
      <c r="C977" s="7" t="s">
        <v>116</v>
      </c>
      <c r="D977" s="100" t="s">
        <v>613</v>
      </c>
      <c r="E977" s="98"/>
      <c r="F977" s="98"/>
      <c r="G977" s="98"/>
      <c r="H977" s="101"/>
    </row>
    <row r="978" spans="2:8" hidden="1" outlineLevel="2">
      <c r="B978" s="76"/>
      <c r="C978" s="7" t="s">
        <v>116</v>
      </c>
      <c r="D978" s="11">
        <v>2.1</v>
      </c>
      <c r="E978" s="11" t="s">
        <v>161</v>
      </c>
      <c r="H978" s="103"/>
    </row>
    <row r="979" spans="2:8" hidden="1" outlineLevel="2">
      <c r="B979" s="76"/>
      <c r="C979" s="7" t="s">
        <v>116</v>
      </c>
      <c r="E979" s="104" t="s">
        <v>119</v>
      </c>
      <c r="F979" s="11" t="s">
        <v>136</v>
      </c>
      <c r="H979" s="106"/>
    </row>
    <row r="980" spans="2:8" hidden="1" outlineLevel="2">
      <c r="B980" s="76"/>
      <c r="C980" s="7" t="s">
        <v>116</v>
      </c>
      <c r="F980" s="108" t="s">
        <v>121</v>
      </c>
      <c r="G980" s="11" t="s">
        <v>885</v>
      </c>
      <c r="H980" s="28"/>
    </row>
    <row r="981" spans="2:8" ht="30" hidden="1" outlineLevel="2">
      <c r="B981" s="76"/>
      <c r="C981" s="7" t="s">
        <v>116</v>
      </c>
      <c r="G981" s="70" t="s">
        <v>133</v>
      </c>
      <c r="H981" s="111" t="s">
        <v>162</v>
      </c>
    </row>
    <row r="982" spans="2:8" ht="30" hidden="1" outlineLevel="2">
      <c r="B982" s="76"/>
      <c r="C982" s="7" t="s">
        <v>116</v>
      </c>
      <c r="G982" s="70" t="s">
        <v>134</v>
      </c>
      <c r="H982" s="111" t="s">
        <v>884</v>
      </c>
    </row>
    <row r="983" spans="2:8" hidden="1" outlineLevel="2">
      <c r="B983" s="76" t="s">
        <v>2423</v>
      </c>
      <c r="C983" s="7" t="str">
        <f>IF(COUNTIF(C985:C995,"Show")&gt;0,"Show","Hide")</f>
        <v>Show</v>
      </c>
      <c r="F983" s="78" t="s">
        <v>123</v>
      </c>
      <c r="G983" s="71" t="s">
        <v>2582</v>
      </c>
      <c r="H983" s="28"/>
    </row>
    <row r="984" spans="2:8" ht="45" hidden="1" outlineLevel="2">
      <c r="B984" s="76" t="str">
        <f>B983</f>
        <v>Show if scope includes exterior lighting.</v>
      </c>
      <c r="C984" s="7" t="str">
        <f>C983</f>
        <v>Show</v>
      </c>
      <c r="F984" s="78"/>
      <c r="G984" s="71"/>
      <c r="H984" s="153" t="s">
        <v>2581</v>
      </c>
    </row>
    <row r="985" spans="2:8" hidden="1" outlineLevel="2">
      <c r="B985" s="12" t="s">
        <v>2430</v>
      </c>
      <c r="C985" s="9" t="str">
        <f>IF(OR('1. Criteria &amp; Spec Matrix'!E43="",'1. Criteria &amp; Spec Matrix'!E43='3. Dropdowns'!C70),"Show","Hide")</f>
        <v>Show</v>
      </c>
      <c r="F985" s="78"/>
      <c r="G985" s="70" t="s">
        <v>133</v>
      </c>
      <c r="H985" s="28" t="s">
        <v>2428</v>
      </c>
    </row>
    <row r="986" spans="2:8" ht="30" hidden="1" outlineLevel="2">
      <c r="B986" s="12" t="s">
        <v>2431</v>
      </c>
      <c r="C986" s="9" t="str">
        <f>IF(OR('1. Criteria &amp; Spec Matrix'!E43="",'1. Criteria &amp; Spec Matrix'!E43='3. Dropdowns'!C71),"Show","Hide")</f>
        <v>Show</v>
      </c>
      <c r="F986" s="78"/>
      <c r="G986" s="70" t="str">
        <f>CHAR(97+COUNTIF($C$985:C985,"Show")) &amp; "."</f>
        <v>b.</v>
      </c>
      <c r="H986" s="28" t="s">
        <v>2429</v>
      </c>
    </row>
    <row r="987" spans="2:8" ht="30" hidden="1" outlineLevel="2">
      <c r="B987" s="76" t="s">
        <v>2423</v>
      </c>
      <c r="C987" s="9" t="str">
        <f>IF(OR('1. Criteria &amp; Spec Matrix'!E43="",'1. Criteria &amp; Spec Matrix'!E43='3. Dropdowns'!C72),"Show","Hide")</f>
        <v>Show</v>
      </c>
      <c r="F987" s="78"/>
      <c r="G987" s="70" t="str">
        <f>CHAR(97+COUNTIF($C$985:C986,"Show")) &amp; "."</f>
        <v>c.</v>
      </c>
      <c r="H987" s="28" t="s">
        <v>163</v>
      </c>
    </row>
    <row r="988" spans="2:8" ht="30" hidden="1" outlineLevel="2">
      <c r="B988" s="76" t="s">
        <v>2423</v>
      </c>
      <c r="C988" s="2" t="str">
        <f>C987</f>
        <v>Show</v>
      </c>
      <c r="F988" s="78"/>
      <c r="G988" s="70" t="str">
        <f>CHAR(97+COUNTIF($C$985:C987,"Show")) &amp; "."</f>
        <v>d.</v>
      </c>
      <c r="H988" s="28" t="s">
        <v>175</v>
      </c>
    </row>
    <row r="989" spans="2:8" hidden="1" outlineLevel="2">
      <c r="B989" s="76" t="s">
        <v>2423</v>
      </c>
      <c r="C989" s="2" t="str">
        <f>C987</f>
        <v>Show</v>
      </c>
      <c r="F989" s="78"/>
      <c r="G989" s="70" t="str">
        <f>CHAR(97+COUNTIF($C$985:C988,"Show")) &amp; "."</f>
        <v>e.</v>
      </c>
      <c r="H989" s="28" t="s">
        <v>886</v>
      </c>
    </row>
    <row r="990" spans="2:8" ht="45" hidden="1" outlineLevel="2">
      <c r="B990" s="76" t="s">
        <v>2423</v>
      </c>
      <c r="C990" s="9" t="str">
        <f>C987</f>
        <v>Show</v>
      </c>
      <c r="F990" s="78"/>
      <c r="G990" s="70" t="str">
        <f>CHAR(97+COUNTIF($C$985:C989,"Show")) &amp; "."</f>
        <v>f.</v>
      </c>
      <c r="H990" s="28" t="s">
        <v>164</v>
      </c>
    </row>
    <row r="991" spans="2:8" hidden="1" outlineLevel="2">
      <c r="B991" s="12" t="s">
        <v>165</v>
      </c>
      <c r="C991" s="9" t="str">
        <f>IF('1. Criteria &amp; Spec Matrix'!E44='3. Dropdowns'!C73,"Show",
IF(AND('1. Criteria &amp; Spec Matrix'!C44="Show",'1. Criteria &amp; Spec Matrix'!E44=""),"Show","Hide"))</f>
        <v>Show</v>
      </c>
      <c r="F991" s="78"/>
      <c r="G991" s="70"/>
      <c r="H991" s="123" t="s">
        <v>166</v>
      </c>
    </row>
    <row r="992" spans="2:8" hidden="1" outlineLevel="2">
      <c r="B992" s="12" t="s">
        <v>167</v>
      </c>
      <c r="C992" s="9" t="str">
        <f>IF('1. Criteria &amp; Spec Matrix'!E44='3. Dropdowns'!C74,"Show",
IF(AND('1. Criteria &amp; Spec Matrix'!C44="Show",'1. Criteria &amp; Spec Matrix'!E44=""),"Show","Hide"))</f>
        <v>Show</v>
      </c>
      <c r="F992" s="78"/>
      <c r="G992" s="70"/>
      <c r="H992" s="28" t="s">
        <v>168</v>
      </c>
    </row>
    <row r="993" spans="2:8" hidden="1" outlineLevel="2">
      <c r="B993" s="12" t="s">
        <v>169</v>
      </c>
      <c r="C993" s="9" t="str">
        <f>IF('1. Criteria &amp; Spec Matrix'!E44='3. Dropdowns'!C75,"Show",
IF(AND('1. Criteria &amp; Spec Matrix'!C44="Show",'1. Criteria &amp; Spec Matrix'!E44=""),"Show","Hide"))</f>
        <v>Show</v>
      </c>
      <c r="F993" s="78"/>
      <c r="G993" s="70"/>
      <c r="H993" s="28" t="s">
        <v>170</v>
      </c>
    </row>
    <row r="994" spans="2:8" hidden="1" outlineLevel="2">
      <c r="B994" s="12" t="s">
        <v>171</v>
      </c>
      <c r="C994" s="9" t="str">
        <f>IF('1. Criteria &amp; Spec Matrix'!E44='3. Dropdowns'!C76,"Show",
IF(AND('1. Criteria &amp; Spec Matrix'!C44="Show",'1. Criteria &amp; Spec Matrix'!E44=""),"Show","Hide"))</f>
        <v>Show</v>
      </c>
      <c r="F994" s="78"/>
      <c r="G994" s="70"/>
      <c r="H994" s="28" t="s">
        <v>172</v>
      </c>
    </row>
    <row r="995" spans="2:8" hidden="1" outlineLevel="2">
      <c r="B995" s="12" t="s">
        <v>173</v>
      </c>
      <c r="C995" s="9" t="str">
        <f>IF('1. Criteria &amp; Spec Matrix'!E44='3. Dropdowns'!C77,"Show",
IF(AND('1. Criteria &amp; Spec Matrix'!C44="Show",'1. Criteria &amp; Spec Matrix'!E44=""),"Show","Hide"))</f>
        <v>Show</v>
      </c>
      <c r="F995" s="78"/>
      <c r="G995" s="70"/>
      <c r="H995" s="28" t="s">
        <v>174</v>
      </c>
    </row>
    <row r="996" spans="2:8" hidden="1" outlineLevel="2">
      <c r="B996" s="12" t="s">
        <v>176</v>
      </c>
      <c r="C996" s="7" t="str">
        <f>IF(COUNTIF(C997:C998,"Show")&gt;0,"Show","Hide")</f>
        <v>Show</v>
      </c>
      <c r="F996" s="78" t="str">
        <f>(2+COUNTIF(C983,"Show")) &amp; "."</f>
        <v>3.</v>
      </c>
      <c r="G996" s="71" t="s">
        <v>60</v>
      </c>
      <c r="H996" s="28"/>
    </row>
    <row r="997" spans="2:8" ht="30" hidden="1" outlineLevel="2">
      <c r="B997" s="12" t="s">
        <v>176</v>
      </c>
      <c r="C997" s="9" t="str">
        <f>IF('1. Criteria &amp; Spec Matrix'!E46='3. Dropdowns'!C82,"Hide","Show")</f>
        <v>Show</v>
      </c>
      <c r="F997" s="78"/>
      <c r="G997" s="70" t="s">
        <v>133</v>
      </c>
      <c r="H997" s="28" t="s">
        <v>177</v>
      </c>
    </row>
    <row r="998" spans="2:8" ht="30" hidden="1" outlineLevel="2">
      <c r="B998" s="12" t="s">
        <v>178</v>
      </c>
      <c r="C998" s="9" t="str">
        <f>IF(OR('1. Criteria &amp; Spec Matrix'!E46="",'1. Criteria &amp; Spec Matrix'!E46='3. Dropdowns'!C84),"Show","Hide")</f>
        <v>Show</v>
      </c>
      <c r="F998" s="78"/>
      <c r="G998" s="70" t="str">
        <f>CHAR(97+COUNTIF($C997:C$997,"Show")) &amp; "."</f>
        <v>b.</v>
      </c>
      <c r="H998" s="28" t="s">
        <v>179</v>
      </c>
    </row>
    <row r="999" spans="2:8" hidden="1" outlineLevel="2">
      <c r="B999" s="12" t="s">
        <v>180</v>
      </c>
      <c r="C999" s="9" t="str">
        <f>IF(OR('1. Criteria &amp; Spec Matrix'!E54="",'1. Criteria &amp; Spec Matrix'!E54='3. Dropdowns'!C92),"Show","Hide")</f>
        <v>Show</v>
      </c>
      <c r="F999" s="78" t="str">
        <f>(2+COUNTIF(C983,"Show")+COUNTIF(C996,"Show")) &amp; "."</f>
        <v>4.</v>
      </c>
      <c r="G999" s="71" t="s">
        <v>68</v>
      </c>
      <c r="H999" s="28"/>
    </row>
    <row r="1000" spans="2:8" ht="30" hidden="1" outlineLevel="2">
      <c r="B1000" s="12" t="s">
        <v>180</v>
      </c>
      <c r="C1000" s="9" t="str">
        <f>C999</f>
        <v>Show</v>
      </c>
      <c r="F1000" s="78"/>
      <c r="G1000" s="70" t="s">
        <v>133</v>
      </c>
      <c r="H1000" s="28" t="s">
        <v>181</v>
      </c>
    </row>
    <row r="1001" spans="2:8" ht="17.100000000000001" hidden="1" customHeight="1" outlineLevel="2">
      <c r="B1001" s="12" t="s">
        <v>2583</v>
      </c>
      <c r="C1001" s="9" t="str">
        <f>IF(OR('1. Criteria &amp; Spec Matrix'!E52="",'1. Criteria &amp; Spec Matrix'!E52='3. Dropdowns'!C92),"Show","Hide")</f>
        <v>Show</v>
      </c>
      <c r="F1001" s="78"/>
      <c r="G1001" s="70" t="str">
        <f>CHAR(97+COUNTIF($C$1000:C1000,"Show")) &amp; "."</f>
        <v>b.</v>
      </c>
      <c r="H1001" s="28" t="s">
        <v>2584</v>
      </c>
    </row>
    <row r="1002" spans="2:8" hidden="1" outlineLevel="2">
      <c r="B1002" s="12" t="s">
        <v>148</v>
      </c>
      <c r="C1002" s="7" t="str">
        <f>IF(COUNTIF(C1003:C1006,"Show")&gt;0,"Show","Hide")</f>
        <v>Show</v>
      </c>
      <c r="F1002" s="78" t="str">
        <f>(2+COUNTIF(C983,"Show")+COUNTIF(C996,"Show")+COUNTIF(C999,"Show")) &amp; "."</f>
        <v>5.</v>
      </c>
      <c r="G1002" s="71" t="s">
        <v>149</v>
      </c>
      <c r="H1002" s="28"/>
    </row>
    <row r="1003" spans="2:8" ht="30" hidden="1" outlineLevel="2">
      <c r="B1003" s="12" t="s">
        <v>2432</v>
      </c>
      <c r="C1003" s="9" t="str">
        <f>IF(AND('1. Criteria &amp; Spec Matrix'!E57='3. Dropdowns'!C94,OR('1. Criteria &amp; Spec Matrix'!F6='3. Dropdowns'!C21,'1. Criteria &amp; Spec Matrix'!F6='3. Dropdowns'!C22,'1. Criteria &amp; Spec Matrix'!F6='3. Dropdowns'!C24,'1. Criteria &amp; Spec Matrix'!F6='3. Dropdowns'!C26)),"Show",
IF(OR('1. Criteria &amp; Spec Matrix'!F6="",'1. Criteria &amp; Spec Matrix'!E57=""),"Show","Hide"))</f>
        <v>Show</v>
      </c>
      <c r="F1003" s="78"/>
      <c r="G1003" s="70" t="s">
        <v>133</v>
      </c>
      <c r="H1003" s="28" t="s">
        <v>887</v>
      </c>
    </row>
    <row r="1004" spans="2:8" ht="30" hidden="1" outlineLevel="2">
      <c r="B1004" s="12" t="s">
        <v>2433</v>
      </c>
      <c r="C1004" s="9" t="str">
        <f>IF(AND('1. Criteria &amp; Spec Matrix'!E57='3. Dropdowns'!C94,OR('1. Criteria &amp; Spec Matrix'!F6='3. Dropdowns'!C27,'1. Criteria &amp; Spec Matrix'!F6='3. Dropdowns'!C28,'1. Criteria &amp; Spec Matrix'!F6='3. Dropdowns'!C29,'1. Criteria &amp; Spec Matrix'!F6='3. Dropdowns'!C30,'1. Criteria &amp; Spec Matrix'!F6='3. Dropdowns'!C31,'1. Criteria &amp; Spec Matrix'!F6='3. Dropdowns'!C32,'1. Criteria &amp; Spec Matrix'!F6='3. Dropdowns'!C33,'1. Criteria &amp; Spec Matrix'!F6='3. Dropdowns'!C34)),"Show",
IF(OR('1. Criteria &amp; Spec Matrix'!F6="",'1. Criteria &amp; Spec Matrix'!E57=""),"Show","Hide"))</f>
        <v>Show</v>
      </c>
      <c r="F1004" s="78"/>
      <c r="G1004" s="70" t="str">
        <f>CHAR(97+COUNTIF($C$1003:C1003,"Show")) &amp; "."</f>
        <v>b.</v>
      </c>
      <c r="H1004" s="28" t="s">
        <v>888</v>
      </c>
    </row>
    <row r="1005" spans="2:8" hidden="1" outlineLevel="2">
      <c r="B1005" s="12" t="s">
        <v>150</v>
      </c>
      <c r="C1005" s="9" t="str">
        <f>IF(OR('1. Criteria &amp; Spec Matrix'!E61="",'1. Criteria &amp; Spec Matrix'!E61='3. Dropdowns'!C96),"Show","Hide")</f>
        <v>Show</v>
      </c>
      <c r="F1005" s="78"/>
      <c r="G1005" s="70" t="str">
        <f>CHAR(97+COUNTIF($C$1003:C1004,"Show")) &amp; "."</f>
        <v>c.</v>
      </c>
      <c r="H1005" s="28" t="s">
        <v>182</v>
      </c>
    </row>
    <row r="1006" spans="2:8" hidden="1" outlineLevel="2">
      <c r="B1006" s="12" t="s">
        <v>151</v>
      </c>
      <c r="C1006" s="9" t="str">
        <f>IF(OR('1. Criteria &amp; Spec Matrix'!E62="",'1. Criteria &amp; Spec Matrix'!E62='3. Dropdowns'!C96),"Show","Hide")</f>
        <v>Show</v>
      </c>
      <c r="F1006" s="78"/>
      <c r="G1006" s="70" t="str">
        <f>CHAR(97+COUNTIF($C$1003:C1005,"Show")) &amp; "."</f>
        <v>d.</v>
      </c>
      <c r="H1006" s="28" t="s">
        <v>183</v>
      </c>
    </row>
    <row r="1007" spans="2:8" hidden="1" outlineLevel="2">
      <c r="B1007" s="12" t="s">
        <v>152</v>
      </c>
      <c r="C1007" s="7" t="str">
        <f>IF(COUNTIF(C1008:C1047,"Show")&gt;0,"Show","Hide")</f>
        <v>Show</v>
      </c>
      <c r="F1007" s="78" t="str">
        <f>(2+COUNTIF(C983,"Show")+COUNTIF(C996,"Show")+COUNTIF(C999,"Show")+COUNTIF(C1002,"Show")) &amp; "."</f>
        <v>6.</v>
      </c>
      <c r="G1007" s="71" t="s">
        <v>153</v>
      </c>
    </row>
    <row r="1008" spans="2:8" ht="75" hidden="1" outlineLevel="2">
      <c r="B1008" s="12" t="s">
        <v>154</v>
      </c>
      <c r="C1008" s="9" t="str">
        <f>IF(AND('1. Criteria &amp; Spec Matrix'!C64="Show",OR('1. Criteria &amp; Spec Matrix'!E64='3. Dropdowns'!C98,'1. Criteria &amp; Spec Matrix'!E64='3. Dropdowns'!C99,'1. Criteria &amp; Spec Matrix'!E64='3. Dropdowns'!C100,'1. Criteria &amp; Spec Matrix'!E64='3. Dropdowns'!C101,'1. Criteria &amp; Spec Matrix'!E64='3. Dropdowns'!C102,'1. Criteria &amp; Spec Matrix'!E64='3. Dropdowns'!C103)),"Show",
IF(AND('1. Criteria &amp; Spec Matrix'!C64="Show",'1. Criteria &amp; Spec Matrix'!E64=""),"Show","Hide"))</f>
        <v>Show</v>
      </c>
      <c r="F1008" s="78"/>
      <c r="G1008" s="70" t="s">
        <v>133</v>
      </c>
      <c r="H1008" s="28" t="s">
        <v>184</v>
      </c>
    </row>
    <row r="1009" spans="2:8" ht="45" hidden="1" outlineLevel="2">
      <c r="B1009" s="12" t="s">
        <v>155</v>
      </c>
      <c r="C1009" s="9" t="str">
        <f>IF(AND('1. Criteria &amp; Spec Matrix'!C64="Show",OR('1. Criteria &amp; Spec Matrix'!E64='3. Dropdowns'!C99,'1. Criteria &amp; Spec Matrix'!E64='3. Dropdowns'!C100,'1. Criteria &amp; Spec Matrix'!E64='3. Dropdowns'!C102,'1. Criteria &amp; Spec Matrix'!E64='3. Dropdowns'!C103)),"Show",
IF(AND('1. Criteria &amp; Spec Matrix'!C64="Show",'1. Criteria &amp; Spec Matrix'!E64=""),"Show","Hide"))</f>
        <v>Show</v>
      </c>
      <c r="F1009" s="78"/>
      <c r="G1009" s="70" t="str">
        <f>CHAR(97+COUNTIF($C$1008:C1008,"Show")) &amp; "."</f>
        <v>b.</v>
      </c>
      <c r="H1009" s="28" t="s">
        <v>185</v>
      </c>
    </row>
    <row r="1010" spans="2:8" ht="87.95" hidden="1" customHeight="1" outlineLevel="2">
      <c r="B1010" s="12" t="s">
        <v>157</v>
      </c>
      <c r="C1010" s="9" t="str">
        <f>IF(AND('1. Criteria &amp; Spec Matrix'!C64="Show",OR('1. Criteria &amp; Spec Matrix'!E64='3. Dropdowns'!C101,'1. Criteria &amp; Spec Matrix'!E64='3. Dropdowns'!C102,'1. Criteria &amp; Spec Matrix'!E64='3. Dropdowns'!C103)),"Show",
IF(AND('1. Criteria &amp; Spec Matrix'!C64="Show",'1. Criteria &amp; Spec Matrix'!E64=""),"Show","Hide"))</f>
        <v>Show</v>
      </c>
      <c r="F1010" s="78"/>
      <c r="G1010" s="70" t="str">
        <f>CHAR(97+COUNTIF($C$1008:C1009,"Show")) &amp; "."</f>
        <v>c.</v>
      </c>
      <c r="H1010" s="75" t="s">
        <v>2434</v>
      </c>
    </row>
    <row r="1011" spans="2:8" ht="45" hidden="1" outlineLevel="2">
      <c r="B1011" s="12" t="s">
        <v>157</v>
      </c>
      <c r="C1011" s="9" t="str">
        <f>C1010</f>
        <v>Show</v>
      </c>
      <c r="F1011" s="78"/>
      <c r="G1011" s="70" t="str">
        <f>CHAR(97+COUNTIF($C$1008:C1010,"Show")) &amp; "."</f>
        <v>d.</v>
      </c>
      <c r="H1011" s="28" t="s">
        <v>186</v>
      </c>
    </row>
    <row r="1012" spans="2:8" hidden="1" outlineLevel="2">
      <c r="B1012" s="12" t="s">
        <v>698</v>
      </c>
      <c r="C1012" s="9" t="str">
        <f>IF(AND('1. Criteria &amp; Spec Matrix'!C65="Show",OR('1. Criteria &amp; Spec Matrix'!E65='3. Dropdowns'!C105,'1. Criteria &amp; Spec Matrix'!E65='3. Dropdowns'!C106,'1. Criteria &amp; Spec Matrix'!E65='3. Dropdowns'!C107,'1. Criteria &amp; Spec Matrix'!E65='3. Dropdowns'!C108,'1. Criteria &amp; Spec Matrix'!E65='3. Dropdowns'!C109,'1. Criteria &amp; Spec Matrix'!E65='3. Dropdowns'!C110)),"Show",
IF(AND('1. Criteria &amp; Spec Matrix'!C65="Show",'1. Criteria &amp; Spec Matrix'!E65=""),"Show","Hide"))</f>
        <v>Show</v>
      </c>
      <c r="F1012" s="78"/>
      <c r="G1012" s="70" t="str">
        <f>CHAR(97+COUNTIF($C$1008:C1011,"Show")) &amp; "."</f>
        <v>e.</v>
      </c>
      <c r="H1012" s="28" t="s">
        <v>704</v>
      </c>
    </row>
    <row r="1013" spans="2:8" ht="30" hidden="1" outlineLevel="2">
      <c r="B1013" s="12" t="s">
        <v>721</v>
      </c>
      <c r="C1013" s="9" t="str">
        <f>IF(AND('1. Criteria &amp; Spec Matrix'!C65="Show",OR('1. Criteria &amp; Spec Matrix'!E65='3. Dropdowns'!C106,'1. Criteria &amp; Spec Matrix'!E65='3. Dropdowns'!C107,'1. Criteria &amp; Spec Matrix'!E65='3. Dropdowns'!C109,'1. Criteria &amp; Spec Matrix'!E65='3. Dropdowns'!C110)),"Show",
IF(AND('1. Criteria &amp; Spec Matrix'!C65="Show",'1. Criteria &amp; Spec Matrix'!E65=""),"Show","Hide"))</f>
        <v>Show</v>
      </c>
      <c r="F1013" s="78"/>
      <c r="G1013" s="70" t="str">
        <f>CHAR(97+COUNTIF($C$1008:C1012,"Show")) &amp; "."</f>
        <v>f.</v>
      </c>
      <c r="H1013" s="28" t="s">
        <v>705</v>
      </c>
    </row>
    <row r="1014" spans="2:8" ht="30" hidden="1" outlineLevel="2">
      <c r="B1014" s="12" t="s">
        <v>702</v>
      </c>
      <c r="C1014" s="9" t="str">
        <f>IF(AND('1. Criteria &amp; Spec Matrix'!C65="Show",OR('1. Criteria &amp; Spec Matrix'!E65='3. Dropdowns'!C107,'1. Criteria &amp; Spec Matrix'!E65='3. Dropdowns'!C110)),"Show",
IF(AND('1. Criteria &amp; Spec Matrix'!C65="Show",'1. Criteria &amp; Spec Matrix'!E65=""),"Show","Hide"))</f>
        <v>Show</v>
      </c>
      <c r="F1014" s="78"/>
      <c r="G1014" s="70" t="str">
        <f>CHAR(97+COUNTIF($C$1008:C1013,"Show")) &amp; "."</f>
        <v>g.</v>
      </c>
      <c r="H1014" s="28" t="s">
        <v>706</v>
      </c>
    </row>
    <row r="1015" spans="2:8" ht="30" hidden="1" outlineLevel="2">
      <c r="B1015" s="12" t="s">
        <v>701</v>
      </c>
      <c r="C1015" s="9" t="str">
        <f>IF(AND('1. Criteria &amp; Spec Matrix'!C65="Show",OR('1. Criteria &amp; Spec Matrix'!E65='3. Dropdowns'!C108,'1. Criteria &amp; Spec Matrix'!E65='3. Dropdowns'!C109,'1. Criteria &amp; Spec Matrix'!E65='3. Dropdowns'!C110)),"Show",
IF(AND('1. Criteria &amp; Spec Matrix'!C65="Show",'1. Criteria &amp; Spec Matrix'!E65=""),"Show","Hide"))</f>
        <v>Show</v>
      </c>
      <c r="F1015" s="78"/>
      <c r="G1015" s="70" t="str">
        <f>CHAR(97+COUNTIF($C$1008:C1014,"Show")) &amp; "."</f>
        <v>h.</v>
      </c>
      <c r="H1015" s="28" t="s">
        <v>707</v>
      </c>
    </row>
    <row r="1016" spans="2:8" hidden="1" outlineLevel="2">
      <c r="B1016" s="12" t="s">
        <v>1762</v>
      </c>
      <c r="C1016" s="9" t="str">
        <f>IF('1. Criteria &amp; Spec Matrix'!E68='3. Dropdowns'!C116,"Show",
IF(AND('1. Criteria &amp; Spec Matrix'!C68="Show",'1. Criteria &amp; Spec Matrix'!E68=""),"Show","Hide"))</f>
        <v>Show</v>
      </c>
      <c r="F1016" s="78"/>
      <c r="G1016" s="70" t="str">
        <f>CHAR(97+COUNTIF($C$1008:C1015,"Show")) &amp; "."</f>
        <v>i.</v>
      </c>
      <c r="H1016" s="28" t="s">
        <v>1761</v>
      </c>
    </row>
    <row r="1017" spans="2:8" hidden="1" outlineLevel="2">
      <c r="B1017" s="12" t="s">
        <v>1759</v>
      </c>
      <c r="C1017" s="9" t="str">
        <f>IF('1. Criteria &amp; Spec Matrix'!E69='3. Dropdowns'!C116,"Show",
IF(AND('1. Criteria &amp; Spec Matrix'!C69="Show",'1. Criteria &amp; Spec Matrix'!E70=""),"Show","Hide"))</f>
        <v>Show</v>
      </c>
      <c r="F1017" s="78"/>
      <c r="G1017" s="70" t="str">
        <f>CHAR(97+COUNTIF($C$1008:C1016,"Show")) &amp; "."</f>
        <v>j.</v>
      </c>
      <c r="H1017" s="28" t="s">
        <v>1760</v>
      </c>
    </row>
    <row r="1018" spans="2:8" hidden="1" outlineLevel="2">
      <c r="B1018" s="12" t="s">
        <v>1764</v>
      </c>
      <c r="C1018" s="9" t="str">
        <f>IF('1. Criteria &amp; Spec Matrix'!E70='3. Dropdowns'!C116,"Show",
IF(AND('1. Criteria &amp; Spec Matrix'!C70="Show",'1. Criteria &amp; Spec Matrix'!E70=""),"Show","Hide"))</f>
        <v>Show</v>
      </c>
      <c r="F1018" s="78"/>
      <c r="G1018" s="70" t="str">
        <f>CHAR(97+COUNTIF($C$1008:C1017,"Show")) &amp; "."</f>
        <v>k.</v>
      </c>
      <c r="H1018" s="28" t="s">
        <v>1765</v>
      </c>
    </row>
    <row r="1019" spans="2:8" hidden="1" outlineLevel="2">
      <c r="B1019" s="12" t="s">
        <v>1767</v>
      </c>
      <c r="C1019" s="9" t="str">
        <f>IF('1. Criteria &amp; Spec Matrix'!E71='3. Dropdowns'!C116,"Show",
IF(AND('1. Criteria &amp; Spec Matrix'!C71="Show",'1. Criteria &amp; Spec Matrix'!E71=""),"Show","Hide"))</f>
        <v>Show</v>
      </c>
      <c r="F1019" s="78"/>
      <c r="G1019" s="70" t="str">
        <f>CHAR(97+COUNTIF($C$1008:C1018,"Show")) &amp; "."</f>
        <v>l.</v>
      </c>
      <c r="H1019" s="28" t="s">
        <v>1768</v>
      </c>
    </row>
    <row r="1020" spans="2:8" ht="30" hidden="1" outlineLevel="2">
      <c r="B1020" s="12" t="s">
        <v>1770</v>
      </c>
      <c r="C1020" s="9" t="str">
        <f>IF('1. Criteria &amp; Spec Matrix'!E72='3. Dropdowns'!C116,"Show",
IF(AND('1. Criteria &amp; Spec Matrix'!C72="Show",'1. Criteria &amp; Spec Matrix'!E72=""),"Show","Hide"))</f>
        <v>Show</v>
      </c>
      <c r="F1020" s="78"/>
      <c r="G1020" s="70" t="str">
        <f>CHAR(97+COUNTIF($C$1008:C1019,"Show")) &amp; "."</f>
        <v>m.</v>
      </c>
      <c r="H1020" s="75" t="s">
        <v>1769</v>
      </c>
    </row>
    <row r="1021" spans="2:8" ht="30" hidden="1" outlineLevel="2">
      <c r="B1021" s="12" t="s">
        <v>1772</v>
      </c>
      <c r="C1021" s="9" t="str">
        <f>IF('1. Criteria &amp; Spec Matrix'!E73='3. Dropdowns'!C116,"Show",
IF(AND('1. Criteria &amp; Spec Matrix'!C73="Show",'1. Criteria &amp; Spec Matrix'!E73=""),"Show","Hide"))</f>
        <v>Show</v>
      </c>
      <c r="F1021" s="78"/>
      <c r="G1021" s="70" t="str">
        <f>CHAR(97+COUNTIF($C$1008:C1020,"Show")) &amp; "."</f>
        <v>n.</v>
      </c>
      <c r="H1021" s="75" t="s">
        <v>1771</v>
      </c>
    </row>
    <row r="1022" spans="2:8" ht="60" hidden="1" outlineLevel="2">
      <c r="B1022" s="12" t="s">
        <v>1775</v>
      </c>
      <c r="C1022" s="9" t="str">
        <f>IF('1. Criteria &amp; Spec Matrix'!E74='3. Dropdowns'!C116,"Show",
IF(AND('1. Criteria &amp; Spec Matrix'!C74="Show",'1. Criteria &amp; Spec Matrix'!E74=""),"Show","Hide"))</f>
        <v>Show</v>
      </c>
      <c r="F1022" s="78"/>
      <c r="G1022" s="70" t="str">
        <f>CHAR(97+COUNTIF($C$1008:C1021,"Show")) &amp; "."</f>
        <v>o.</v>
      </c>
      <c r="H1022" s="75" t="s">
        <v>1774</v>
      </c>
    </row>
    <row r="1023" spans="2:8" hidden="1" outlineLevel="2">
      <c r="B1023" s="12" t="s">
        <v>1846</v>
      </c>
      <c r="C1023" s="9" t="str">
        <f>IF('1. Criteria &amp; Spec Matrix'!E76='3. Dropdowns'!C116,"Show",
IF(AND('1. Criteria &amp; Spec Matrix'!C76="Show",'1. Criteria &amp; Spec Matrix'!E76=""),"Show","Hide"))</f>
        <v>Show</v>
      </c>
      <c r="F1023" s="78"/>
      <c r="G1023" s="70" t="str">
        <f>CHAR(97+COUNTIF($C$1008:C1022,"Show")) &amp; "."</f>
        <v>p.</v>
      </c>
      <c r="H1023" s="28" t="s">
        <v>1839</v>
      </c>
    </row>
    <row r="1024" spans="2:8" hidden="1" outlineLevel="2">
      <c r="B1024" s="12" t="s">
        <v>2436</v>
      </c>
      <c r="C1024" s="9" t="str">
        <f>IF('1. Criteria &amp; Spec Matrix'!E77='3. Dropdowns'!C116,"Show",
IF(AND('1. Criteria &amp; Spec Matrix'!C77="Show",'1. Criteria &amp; Spec Matrix'!E77=""),"Show","Hide"))</f>
        <v>Show</v>
      </c>
      <c r="F1024" s="78"/>
      <c r="G1024" s="70" t="str">
        <f>CHAR(97+COUNTIF($C$1008:C1023,"Show")) &amp; "."</f>
        <v>q.</v>
      </c>
      <c r="H1024" s="28" t="s">
        <v>1840</v>
      </c>
    </row>
    <row r="1025" spans="2:8" ht="45" hidden="1" outlineLevel="2">
      <c r="B1025" s="12" t="s">
        <v>1847</v>
      </c>
      <c r="C1025" s="9" t="str">
        <f>IF('1. Criteria &amp; Spec Matrix'!E78='3. Dropdowns'!C116,"Show",
IF(AND('1. Criteria &amp; Spec Matrix'!C78="Show",'1. Criteria &amp; Spec Matrix'!E78=""),"Show","Hide"))</f>
        <v>Show</v>
      </c>
      <c r="F1025" s="78"/>
      <c r="G1025" s="70" t="str">
        <f>CHAR(97+COUNTIF($C$1008:C1024,"Show")) &amp; "."</f>
        <v>r.</v>
      </c>
      <c r="H1025" s="28" t="s">
        <v>1841</v>
      </c>
    </row>
    <row r="1026" spans="2:8" hidden="1" outlineLevel="2">
      <c r="B1026" s="12" t="s">
        <v>1847</v>
      </c>
      <c r="C1026" s="9" t="str">
        <f>C1025</f>
        <v>Show</v>
      </c>
      <c r="F1026" s="78"/>
      <c r="G1026" s="70" t="str">
        <f>CHAR(97+COUNTIF($C$1008:C1025,"Show")) &amp; "."</f>
        <v>s.</v>
      </c>
      <c r="H1026" s="28" t="s">
        <v>1842</v>
      </c>
    </row>
    <row r="1027" spans="2:8" hidden="1" outlineLevel="2">
      <c r="B1027" s="12" t="s">
        <v>1848</v>
      </c>
      <c r="C1027" s="9" t="str">
        <f>C1025</f>
        <v>Show</v>
      </c>
      <c r="F1027" s="78"/>
      <c r="G1027" s="70" t="str">
        <f>CHAR(97+COUNTIF($C$1008:C1026,"Show")) &amp; "."</f>
        <v>t.</v>
      </c>
      <c r="H1027" s="28" t="s">
        <v>1842</v>
      </c>
    </row>
    <row r="1028" spans="2:8" ht="30" hidden="1" outlineLevel="2">
      <c r="B1028" s="12" t="s">
        <v>1849</v>
      </c>
      <c r="C1028" s="9" t="str">
        <f>IF('1. Criteria &amp; Spec Matrix'!E80='3. Dropdowns'!C116,"Show",
IF(AND('1. Criteria &amp; Spec Matrix'!C80="Show",'1. Criteria &amp; Spec Matrix'!E80=""),"Show","Hide"))</f>
        <v>Show</v>
      </c>
      <c r="F1028" s="78"/>
      <c r="G1028" s="70" t="str">
        <f>CHAR(97+COUNTIF($C$1008:C1027,"Show")) &amp; "."</f>
        <v>u.</v>
      </c>
      <c r="H1028" s="28" t="s">
        <v>1843</v>
      </c>
    </row>
    <row r="1029" spans="2:8" ht="45" hidden="1" outlineLevel="2">
      <c r="B1029" s="12" t="s">
        <v>1850</v>
      </c>
      <c r="C1029" s="9" t="str">
        <f>IF('1. Criteria &amp; Spec Matrix'!E81='3. Dropdowns'!C116,"Show",
IF(AND('1. Criteria &amp; Spec Matrix'!C81="Show",'1. Criteria &amp; Spec Matrix'!E81=""),"Show","Hide"))</f>
        <v>Show</v>
      </c>
      <c r="F1029" s="78"/>
      <c r="G1029" s="70" t="str">
        <f>CHAR(97+COUNTIF($C$1008:C1028,"Show")) &amp; "."</f>
        <v>v.</v>
      </c>
      <c r="H1029" s="28" t="s">
        <v>1844</v>
      </c>
    </row>
    <row r="1030" spans="2:8" ht="45.95" hidden="1" customHeight="1" outlineLevel="2">
      <c r="B1030" s="12" t="s">
        <v>1851</v>
      </c>
      <c r="C1030" s="9" t="str">
        <f>IF('1. Criteria &amp; Spec Matrix'!E82='3. Dropdowns'!C116,"Show",
IF(AND('1. Criteria &amp; Spec Matrix'!C82="Show",'1. Criteria &amp; Spec Matrix'!E82=""),"Show","Hide"))</f>
        <v>Show</v>
      </c>
      <c r="F1030" s="78"/>
      <c r="G1030" s="70" t="str">
        <f>CHAR(97+COUNTIF($C$1008:C1029,"Show")) &amp; "."</f>
        <v>w.</v>
      </c>
      <c r="H1030" s="28" t="s">
        <v>1845</v>
      </c>
    </row>
    <row r="1031" spans="2:8" hidden="1" outlineLevel="2">
      <c r="B1031" s="12" t="s">
        <v>1854</v>
      </c>
      <c r="C1031" s="9" t="str">
        <f>IF('1. Criteria &amp; Spec Matrix'!E85='3. Dropdowns'!C116,"Show",
IF(AND('1. Criteria &amp; Spec Matrix'!C85="Show",'1. Criteria &amp; Spec Matrix'!E85=""),"Show","Hide"))</f>
        <v>Show</v>
      </c>
      <c r="F1031" s="78"/>
      <c r="G1031" s="70" t="str">
        <f>CHAR(97+COUNTIF($C$1008:C1030,"Show")) &amp; "."</f>
        <v>x.</v>
      </c>
      <c r="H1031" s="28" t="s">
        <v>1857</v>
      </c>
    </row>
    <row r="1032" spans="2:8" hidden="1" outlineLevel="2">
      <c r="B1032" s="12" t="s">
        <v>1855</v>
      </c>
      <c r="C1032" s="9" t="str">
        <f>IF('1. Criteria &amp; Spec Matrix'!E86='3. Dropdowns'!C116,"Show",
IF(AND('1. Criteria &amp; Spec Matrix'!C86="Show",'1. Criteria &amp; Spec Matrix'!E86=""),"Show","Hide"))</f>
        <v>Show</v>
      </c>
      <c r="F1032" s="78"/>
      <c r="G1032" s="70" t="str">
        <f>CHAR(97+COUNTIF($C$1008:C1031,"Show")) &amp; "."</f>
        <v>y.</v>
      </c>
      <c r="H1032" s="28" t="s">
        <v>1852</v>
      </c>
    </row>
    <row r="1033" spans="2:8" hidden="1" outlineLevel="2">
      <c r="B1033" s="12" t="s">
        <v>1856</v>
      </c>
      <c r="C1033" s="9" t="str">
        <f>IF('1. Criteria &amp; Spec Matrix'!E88='3. Dropdowns'!C116,"Show",
IF(AND('1. Criteria &amp; Spec Matrix'!C88="Show",'1. Criteria &amp; Spec Matrix'!E88=""),"Show","Hide"))</f>
        <v>Show</v>
      </c>
      <c r="F1033" s="78"/>
      <c r="G1033" s="70" t="str">
        <f>CHAR(97+COUNTIF($C$1008:C1032,"Show")) &amp; "."</f>
        <v>z.</v>
      </c>
      <c r="H1033" s="28" t="s">
        <v>1853</v>
      </c>
    </row>
    <row r="1034" spans="2:8" ht="30" hidden="1" outlineLevel="2">
      <c r="B1034" s="12" t="s">
        <v>1888</v>
      </c>
      <c r="C1034" s="9" t="str">
        <f>IF('1. Criteria &amp; Spec Matrix'!E91='3. Dropdowns'!C116,"Show",
IF(AND('1. Criteria &amp; Spec Matrix'!C91="Show",'1. Criteria &amp; Spec Matrix'!E91=""),"Show","Hide"))</f>
        <v>Show</v>
      </c>
      <c r="F1034" s="78"/>
      <c r="G1034" s="70" t="str">
        <f>IF(COUNTIF($C$1008:C1033,"Show")&lt;25,(CHAR(97+COUNTIF($C$1008:C1033,"Show")) &amp; "."),(CHAR(71+COUNTIF($C$1008:C1033,"Show")) &amp; (CHAR(71+COUNTIF($C$1008:C1033,"Show")) &amp; ".")))</f>
        <v>aa.</v>
      </c>
      <c r="H1034" s="28" t="s">
        <v>1889</v>
      </c>
    </row>
    <row r="1035" spans="2:8" ht="30" hidden="1" outlineLevel="2">
      <c r="B1035" s="12" t="s">
        <v>1822</v>
      </c>
      <c r="C1035" s="9" t="str">
        <f>IF('1. Criteria &amp; Spec Matrix'!E94='3. Dropdowns'!C116,"Show",
IF(AND('1. Criteria &amp; Spec Matrix'!C94="Show",'1. Criteria &amp; Spec Matrix'!E94=""),"Show","Hide"))</f>
        <v>Show</v>
      </c>
      <c r="F1035" s="78"/>
      <c r="G1035" s="70" t="str">
        <f>IF(COUNTIF($C$1008:C1034,"Show")&lt;25,(CHAR(97+COUNTIF($C$1008:C1034,"Show")) &amp; "."),(CHAR(71+COUNTIF($C$1008:C1034,"Show")) &amp; (CHAR(71+COUNTIF($C$1008:C1034,"Show")) &amp; ".")))</f>
        <v>bb.</v>
      </c>
      <c r="H1035" s="28" t="s">
        <v>2942</v>
      </c>
    </row>
    <row r="1036" spans="2:8" hidden="1" outlineLevel="2">
      <c r="B1036" s="12" t="s">
        <v>1862</v>
      </c>
      <c r="C1036" s="9" t="str">
        <f>IF('1. Criteria &amp; Spec Matrix'!E95='3. Dropdowns'!C116,"Show",
IF(AND('1. Criteria &amp; Spec Matrix'!C95="Show",'1. Criteria &amp; Spec Matrix'!E95=""),"Show","Hide"))</f>
        <v>Show</v>
      </c>
      <c r="F1036" s="78"/>
      <c r="G1036" s="70" t="str">
        <f>IF(COUNTIF($C$1008:C1035,"Show")&lt;25,(CHAR(97+COUNTIF($C$1008:C1035,"Show")) &amp; "."),(CHAR(71+COUNTIF($C$1008:C1035,"Show")) &amp; (CHAR(71+COUNTIF($C$1008:C1035,"Show")) &amp; ".")))</f>
        <v>cc.</v>
      </c>
      <c r="H1036" s="28" t="s">
        <v>1858</v>
      </c>
    </row>
    <row r="1037" spans="2:8" ht="30" hidden="1" outlineLevel="2">
      <c r="B1037" s="12" t="s">
        <v>1823</v>
      </c>
      <c r="C1037" s="9" t="str">
        <f>IF('1. Criteria &amp; Spec Matrix'!E97='3. Dropdowns'!C116,"Show",
IF(AND('1. Criteria &amp; Spec Matrix'!C97="Show",'1. Criteria &amp; Spec Matrix'!E97=""),"Show","Hide"))</f>
        <v>Show</v>
      </c>
      <c r="F1037" s="78"/>
      <c r="G1037" s="70" t="str">
        <f>IF(COUNTIF($C$1008:C1036,"Show")&lt;25,(CHAR(97+COUNTIF($C$1008:C1036,"Show")) &amp; "."),(CHAR(71+COUNTIF($C$1008:C1036,"Show")) &amp; (CHAR(71+COUNTIF($C$1008:C1036,"Show")) &amp; ".")))</f>
        <v>dd.</v>
      </c>
      <c r="H1037" s="28" t="s">
        <v>1859</v>
      </c>
    </row>
    <row r="1038" spans="2:8" ht="30" hidden="1" outlineLevel="2">
      <c r="B1038" s="12" t="s">
        <v>1824</v>
      </c>
      <c r="C1038" s="9" t="str">
        <f>IF('1. Criteria &amp; Spec Matrix'!E98='3. Dropdowns'!C116,"Show",
IF(AND('1. Criteria &amp; Spec Matrix'!C98="Show",'1. Criteria &amp; Spec Matrix'!E98=""),"Show","Hide"))</f>
        <v>Show</v>
      </c>
      <c r="F1038" s="78"/>
      <c r="G1038" s="70" t="str">
        <f>IF(COUNTIF($C$1008:C1037,"Show")&lt;25,(CHAR(97+COUNTIF($C$1008:C1037,"Show")) &amp; "."),(CHAR(71+COUNTIF($C$1008:C1037,"Show")) &amp; (CHAR(71+COUNTIF($C$1008:C1037,"Show")) &amp; ".")))</f>
        <v>ee.</v>
      </c>
      <c r="H1038" s="28" t="s">
        <v>1860</v>
      </c>
    </row>
    <row r="1039" spans="2:8" ht="18.95" hidden="1" customHeight="1" outlineLevel="2">
      <c r="B1039" s="12" t="s">
        <v>1826</v>
      </c>
      <c r="C1039" s="9" t="str">
        <f>IF('1. Criteria &amp; Spec Matrix'!E102='3. Dropdowns'!C116,"Show",
IF(AND('1. Criteria &amp; Spec Matrix'!C102="Show",'1. Criteria &amp; Spec Matrix'!E102=""),"Show","Hide"))</f>
        <v>Show</v>
      </c>
      <c r="F1039" s="78"/>
      <c r="G1039" s="70" t="str">
        <f>IF(COUNTIF($C$1008:C1038,"Show")&lt;25,(CHAR(97+COUNTIF($C$1008:C1038,"Show")) &amp; "."),(CHAR(71+COUNTIF($C$1008:C1038,"Show")) &amp; (CHAR(71+COUNTIF($C$1008:C1038,"Show")) &amp; ".")))</f>
        <v>ff.</v>
      </c>
      <c r="H1039" s="28" t="s">
        <v>1861</v>
      </c>
    </row>
    <row r="1040" spans="2:8" ht="60" hidden="1" customHeight="1" outlineLevel="2">
      <c r="B1040" s="12" t="s">
        <v>1837</v>
      </c>
      <c r="C1040" s="9" t="str">
        <f>IF('1. Criteria &amp; Spec Matrix'!E105='3. Dropdowns'!C116,"Show",
IF(AND('1. Criteria &amp; Spec Matrix'!C105="Show",'1. Criteria &amp; Spec Matrix'!E105=""),"Show","Hide"))</f>
        <v>Show</v>
      </c>
      <c r="F1040" s="78"/>
      <c r="G1040" s="70" t="str">
        <f>IF(COUNTIF($C$1008:C1039,"Show")&lt;25,(CHAR(97+COUNTIF($C$1008:C1039,"Show")) &amp; "."),(CHAR(71+COUNTIF($C$1008:C1039,"Show")) &amp; (CHAR(71+COUNTIF($C$1008:C1039,"Show")) &amp; ".")))</f>
        <v>gg.</v>
      </c>
      <c r="H1040" s="75" t="s">
        <v>1863</v>
      </c>
    </row>
    <row r="1041" spans="2:8" ht="60" hidden="1" outlineLevel="2">
      <c r="B1041" s="12" t="s">
        <v>1838</v>
      </c>
      <c r="C1041" s="9" t="str">
        <f>IF('1. Criteria &amp; Spec Matrix'!E106='3. Dropdowns'!C116,"Show",
IF(AND('1. Criteria &amp; Spec Matrix'!C106="Show",'1. Criteria &amp; Spec Matrix'!E106=""),"Show","Hide"))</f>
        <v>Show</v>
      </c>
      <c r="F1041" s="78"/>
      <c r="G1041" s="70" t="str">
        <f>IF(COUNTIF($C$1008:C1040,"Show")&lt;25,(CHAR(97+COUNTIF($C$1008:C1040,"Show")) &amp; "."),(CHAR(71+COUNTIF($C$1008:C1040,"Show")) &amp; (CHAR(71+COUNTIF($C$1008:C1040,"Show")) &amp; ".")))</f>
        <v>hh.</v>
      </c>
      <c r="H1041" s="75" t="s">
        <v>1864</v>
      </c>
    </row>
    <row r="1042" spans="2:8" ht="30" hidden="1" outlineLevel="2">
      <c r="B1042" s="12" t="s">
        <v>1915</v>
      </c>
      <c r="C1042" s="9" t="str">
        <f>IF('1. Criteria &amp; Spec Matrix'!E112='3. Dropdowns'!C116,"Show",
IF(AND('1. Criteria &amp; Spec Matrix'!C112="Show",'1. Criteria &amp; Spec Matrix'!E112=""),"Show","Hide"))</f>
        <v>Show</v>
      </c>
      <c r="F1042" s="78"/>
      <c r="G1042" s="70" t="str">
        <f>IF(COUNTIF($C$1008:C1041,"Show")&lt;25,(CHAR(97+COUNTIF($C$1008:C1041,"Show")) &amp; "."),(CHAR(71+COUNTIF($C$1008:C1041,"Show")) &amp; (CHAR(71+COUNTIF($C$1008:C1041,"Show")) &amp; ".")))</f>
        <v>ii.</v>
      </c>
      <c r="H1042" s="111" t="s">
        <v>1914</v>
      </c>
    </row>
    <row r="1043" spans="2:8" ht="30" hidden="1" outlineLevel="2">
      <c r="B1043" s="12" t="s">
        <v>1827</v>
      </c>
      <c r="C1043" s="9" t="str">
        <f>IF('1. Criteria &amp; Spec Matrix'!E113='3. Dropdowns'!C116,"Show",
IF(AND('1. Criteria &amp; Spec Matrix'!C113="Show",'1. Criteria &amp; Spec Matrix'!E113=""),"Show","Hide"))</f>
        <v>Show</v>
      </c>
      <c r="F1043" s="78"/>
      <c r="G1043" s="70" t="str">
        <f>IF(COUNTIF($C$1008:C1042,"Show")&lt;25,(CHAR(97+COUNTIF($C$1008:C1042,"Show")) &amp; "."),(CHAR(71+COUNTIF($C$1008:C1042,"Show")) &amp; (CHAR(71+COUNTIF($C$1008:C1042,"Show")) &amp; ".")))</f>
        <v>jj.</v>
      </c>
      <c r="H1043" s="75" t="s">
        <v>1865</v>
      </c>
    </row>
    <row r="1044" spans="2:8" ht="30" hidden="1" outlineLevel="2">
      <c r="B1044" s="12" t="s">
        <v>1828</v>
      </c>
      <c r="C1044" s="9" t="str">
        <f>IF('1. Criteria &amp; Spec Matrix'!E114='3. Dropdowns'!C116,"Show",
IF(AND('1. Criteria &amp; Spec Matrix'!C114="Show",'1. Criteria &amp; Spec Matrix'!E114=""),"Show","Hide"))</f>
        <v>Show</v>
      </c>
      <c r="F1044" s="78"/>
      <c r="G1044" s="70" t="str">
        <f>IF(COUNTIF($C$1008:C1043,"Show")&lt;25,(CHAR(97+COUNTIF($C$1008:C1043,"Show")) &amp; "."),(CHAR(71+COUNTIF($C$1008:C1043,"Show")) &amp; (CHAR(71+COUNTIF($C$1008:C1043,"Show")) &amp; ".")))</f>
        <v>kk.</v>
      </c>
      <c r="H1044" s="75" t="s">
        <v>1866</v>
      </c>
    </row>
    <row r="1045" spans="2:8" ht="30" hidden="1" outlineLevel="2">
      <c r="B1045" s="12" t="s">
        <v>1829</v>
      </c>
      <c r="C1045" s="9" t="str">
        <f>IF('1. Criteria &amp; Spec Matrix'!E115='3. Dropdowns'!C116,"Show",
IF(AND('1. Criteria &amp; Spec Matrix'!C115="Show",'1. Criteria &amp; Spec Matrix'!E115=""),"Show","Hide"))</f>
        <v>Show</v>
      </c>
      <c r="F1045" s="78"/>
      <c r="G1045" s="70" t="str">
        <f>IF(COUNTIF($C$1008:C1044,"Show")&lt;25,(CHAR(97+COUNTIF($C$1008:C1044,"Show")) &amp; "."),(CHAR(71+COUNTIF($C$1008:C1044,"Show")) &amp; (CHAR(71+COUNTIF($C$1008:C1044,"Show")) &amp; ".")))</f>
        <v>ll.</v>
      </c>
      <c r="H1045" s="75" t="s">
        <v>1867</v>
      </c>
    </row>
    <row r="1046" spans="2:8" hidden="1" outlineLevel="2">
      <c r="B1046" s="12" t="s">
        <v>1830</v>
      </c>
      <c r="C1046" s="9" t="str">
        <f>IF('1. Criteria &amp; Spec Matrix'!E119='3. Dropdowns'!C116,"Show",
IF(AND('1. Criteria &amp; Spec Matrix'!C119="Show",'1. Criteria &amp; Spec Matrix'!E119=""),"Show","Hide"))</f>
        <v>Show</v>
      </c>
      <c r="F1046" s="78"/>
      <c r="G1046" s="70" t="str">
        <f>IF(COUNTIF($C$1008:C1045,"Show")&lt;25,(CHAR(97+COUNTIF($C$1008:C1045,"Show")) &amp; "."),(CHAR(71+COUNTIF($C$1008:C1045,"Show")) &amp; (CHAR(71+COUNTIF($C$1008:C1045,"Show")) &amp; ".")))</f>
        <v>mm.</v>
      </c>
      <c r="H1046" s="111" t="s">
        <v>1868</v>
      </c>
    </row>
    <row r="1047" spans="2:8" hidden="1" outlineLevel="2">
      <c r="B1047" s="12" t="s">
        <v>1836</v>
      </c>
      <c r="C1047" s="9" t="str">
        <f>IF('1. Criteria &amp; Spec Matrix'!E137='3. Dropdowns'!C116,"Show",
IF(AND('1. Criteria &amp; Spec Matrix'!C137="Show",'1. Criteria &amp; Spec Matrix'!E137=""),"Show","Hide"))</f>
        <v>Show</v>
      </c>
      <c r="F1047" s="78"/>
      <c r="G1047" s="70" t="str">
        <f>IF(COUNTIF($C$1008:C1046,"Show")&lt;25,(CHAR(97+COUNTIF($C$1008:C1046,"Show")) &amp; "."),(CHAR(71+COUNTIF($C$1008:C1046,"Show")) &amp; (CHAR(71+COUNTIF($C$1008:C1046,"Show")) &amp; ".")))</f>
        <v>nn.</v>
      </c>
      <c r="H1047" s="111" t="s">
        <v>1869</v>
      </c>
    </row>
    <row r="1048" spans="2:8" hidden="1" outlineLevel="2">
      <c r="B1048" s="12" t="s">
        <v>716</v>
      </c>
      <c r="C1048" s="7" t="str">
        <f>IF(COUNTIF(C1049:C1061,"Show")&gt;0,"Show","Hide")</f>
        <v>Show</v>
      </c>
      <c r="F1048" s="78" t="str">
        <f>(2+COUNTIF(C983,"Show")+COUNTIF(C996,"Show")+COUNTIF(C999,"Show")+COUNTIF(C1002,"Show")+COUNTIF(C1007,"Show")) &amp; "."</f>
        <v>7.</v>
      </c>
      <c r="G1048" s="71" t="s">
        <v>2448</v>
      </c>
      <c r="H1048" s="28"/>
    </row>
    <row r="1049" spans="2:8" ht="45" hidden="1" outlineLevel="2">
      <c r="B1049" s="12" t="s">
        <v>717</v>
      </c>
      <c r="C1049" s="2" t="str">
        <f>IF('1. Criteria &amp; Spec Matrix'!E141='3. Dropdowns'!C118,"Show",
IF(AND('1. Criteria &amp; Spec Matrix'!C141="Show",'1. Criteria &amp; Spec Matrix'!E141=""),"Show","Hide"))</f>
        <v>Show</v>
      </c>
      <c r="F1049" s="78"/>
      <c r="G1049" s="70" t="s">
        <v>133</v>
      </c>
      <c r="H1049" s="28" t="s">
        <v>3030</v>
      </c>
    </row>
    <row r="1050" spans="2:8" ht="45" hidden="1" outlineLevel="2">
      <c r="B1050" s="12" t="s">
        <v>717</v>
      </c>
      <c r="C1050" s="2" t="str">
        <f>C1049</f>
        <v>Show</v>
      </c>
      <c r="F1050" s="78"/>
      <c r="G1050" s="70" t="str">
        <f>CHAR(97+COUNTIF($C$1049:C1049,"Show")) &amp; "."</f>
        <v>b.</v>
      </c>
      <c r="H1050" s="28" t="s">
        <v>3031</v>
      </c>
    </row>
    <row r="1051" spans="2:8" ht="30" hidden="1" outlineLevel="2">
      <c r="B1051" s="12" t="s">
        <v>1984</v>
      </c>
      <c r="C1051" s="9" t="str">
        <f>IF('1. Criteria &amp; Spec Matrix'!E143='3. Dropdowns'!C116,"Show",
IF(AND('1. Criteria &amp; Spec Matrix'!C143="Show",'1. Criteria &amp; Spec Matrix'!E143=""),"Show","Hide"))</f>
        <v>Show</v>
      </c>
      <c r="F1051" s="78"/>
      <c r="G1051" s="70" t="str">
        <f>CHAR(97+COUNTIF($C$1049:C1050,"Show")) &amp; "."</f>
        <v>c.</v>
      </c>
      <c r="H1051" s="28" t="s">
        <v>1983</v>
      </c>
    </row>
    <row r="1052" spans="2:8" hidden="1" outlineLevel="2">
      <c r="B1052" s="12" t="s">
        <v>1968</v>
      </c>
      <c r="C1052" s="9" t="str">
        <f>IF('1. Criteria &amp; Spec Matrix'!E145='3. Dropdowns'!C116,"Show",
IF(AND('1. Criteria &amp; Spec Matrix'!C145="Show",'1. Criteria &amp; Spec Matrix'!E145=""),"Show","Hide"))</f>
        <v>Show</v>
      </c>
      <c r="F1052" s="78"/>
      <c r="G1052" s="70" t="str">
        <f>CHAR(97+COUNTIF($C$1049:C1051,"Show")) &amp; "."</f>
        <v>d.</v>
      </c>
      <c r="H1052" s="28" t="s">
        <v>1977</v>
      </c>
    </row>
    <row r="1053" spans="2:8" hidden="1" outlineLevel="2">
      <c r="B1053" s="12" t="s">
        <v>1968</v>
      </c>
      <c r="C1053" s="9" t="str">
        <f>C1052</f>
        <v>Show</v>
      </c>
      <c r="F1053" s="78"/>
      <c r="G1053" s="70" t="str">
        <f>CHAR(97+COUNTIF($C$1049:C1052,"Show")) &amp; "."</f>
        <v>e.</v>
      </c>
      <c r="H1053" s="28" t="s">
        <v>1978</v>
      </c>
    </row>
    <row r="1054" spans="2:8" hidden="1" outlineLevel="2">
      <c r="B1054" s="12" t="s">
        <v>1969</v>
      </c>
      <c r="C1054" s="9" t="str">
        <f>IF('1. Criteria &amp; Spec Matrix'!E146='3. Dropdowns'!C116,"Show",
IF(AND('1. Criteria &amp; Spec Matrix'!C146="Show",'1. Criteria &amp; Spec Matrix'!E146=""),"Show","Hide"))</f>
        <v>Show</v>
      </c>
      <c r="F1054" s="78"/>
      <c r="G1054" s="70" t="str">
        <f>CHAR(97+COUNTIF($C$1049:C1053,"Show")) &amp; "."</f>
        <v>f.</v>
      </c>
      <c r="H1054" s="28" t="s">
        <v>1979</v>
      </c>
    </row>
    <row r="1055" spans="2:8" ht="30" hidden="1" outlineLevel="2">
      <c r="B1055" s="12" t="s">
        <v>1985</v>
      </c>
      <c r="C1055" s="9" t="str">
        <f>IF('1. Criteria &amp; Spec Matrix'!E148='3. Dropdowns'!C116,"Show",
IF(AND('1. Criteria &amp; Spec Matrix'!C148="Show",'1. Criteria &amp; Spec Matrix'!E148=""),"Show","Hide"))</f>
        <v>Show</v>
      </c>
      <c r="F1055" s="78"/>
      <c r="G1055" s="70" t="str">
        <f>CHAR(97+COUNTIF($C$1049:C1054,"Show")) &amp; "."</f>
        <v>g.</v>
      </c>
      <c r="H1055" s="28" t="s">
        <v>1980</v>
      </c>
    </row>
    <row r="1056" spans="2:8" hidden="1" outlineLevel="2">
      <c r="B1056" s="12" t="s">
        <v>1971</v>
      </c>
      <c r="C1056" s="9" t="str">
        <f>IF('1. Criteria &amp; Spec Matrix'!E149='3. Dropdowns'!C116,"Show",
IF(AND('1. Criteria &amp; Spec Matrix'!C149="Show",'1. Criteria &amp; Spec Matrix'!E149=""),"Show","Hide"))</f>
        <v>Show</v>
      </c>
      <c r="F1056" s="78"/>
      <c r="G1056" s="70" t="str">
        <f>CHAR(97+COUNTIF($C$1049:C1055,"Show")) &amp; "."</f>
        <v>h.</v>
      </c>
      <c r="H1056" s="28" t="s">
        <v>1981</v>
      </c>
    </row>
    <row r="1057" spans="2:8" ht="30" hidden="1" outlineLevel="2">
      <c r="B1057" s="12" t="s">
        <v>1986</v>
      </c>
      <c r="C1057" s="9" t="str">
        <f>IF('1. Criteria &amp; Spec Matrix'!E151='3. Dropdowns'!C116,"Show",
IF(AND('1. Criteria &amp; Spec Matrix'!C151="Show",'1. Criteria &amp; Spec Matrix'!E151=""),"Show","Hide"))</f>
        <v>Show</v>
      </c>
      <c r="F1057" s="78"/>
      <c r="G1057" s="70" t="str">
        <f>CHAR(97+COUNTIF($C$1049:C1056,"Show")) &amp; "."</f>
        <v>i.</v>
      </c>
      <c r="H1057" s="28" t="s">
        <v>1982</v>
      </c>
    </row>
    <row r="1058" spans="2:8" ht="45" hidden="1" outlineLevel="2">
      <c r="B1058" s="12" t="s">
        <v>1963</v>
      </c>
      <c r="C1058" s="9" t="str">
        <f>IF(AND('1. Criteria &amp; Spec Matrix'!E141='3. Dropdowns'!C119,'1. Criteria &amp; Spec Matrix'!E161='3. Dropdowns'!C121),"Show",
IF(AND('1. Criteria &amp; Spec Matrix'!C141="Show",'1. Criteria &amp; Spec Matrix'!E141=""),"Show",
IF(AND('1. Criteria &amp; Spec Matrix'!C161="Show",'1. Criteria &amp; Spec Matrix'!E161=""),"Show","Hide")))</f>
        <v>Show</v>
      </c>
      <c r="F1058" s="78"/>
      <c r="G1058" s="70" t="str">
        <f>CHAR(97+COUNTIF($C$1049:C1057,"Show")) &amp; "."</f>
        <v>j.</v>
      </c>
      <c r="H1058" s="75" t="s">
        <v>1954</v>
      </c>
    </row>
    <row r="1059" spans="2:8" ht="45" hidden="1" outlineLevel="2">
      <c r="B1059" s="12" t="s">
        <v>1960</v>
      </c>
      <c r="C1059" s="9" t="str">
        <f>IF(AND('1. Criteria &amp; Spec Matrix'!E141='3. Dropdowns'!C119,'1. Criteria &amp; Spec Matrix'!E161='3. Dropdowns'!C122),"Show",
IF(AND('1. Criteria &amp; Spec Matrix'!C141="Show",'1. Criteria &amp; Spec Matrix'!E141=""),"Show",
IF(AND('1. Criteria &amp; Spec Matrix'!C161="Show",'1. Criteria &amp; Spec Matrix'!E161=""),"Show","Hide")))</f>
        <v>Show</v>
      </c>
      <c r="F1059" s="78"/>
      <c r="G1059" s="70" t="str">
        <f>CHAR(97+COUNTIF($C$1049:C1058,"Show")) &amp; "."</f>
        <v>k.</v>
      </c>
      <c r="H1059" s="75" t="s">
        <v>2437</v>
      </c>
    </row>
    <row r="1060" spans="2:8" ht="45" hidden="1" outlineLevel="2">
      <c r="B1060" s="12" t="s">
        <v>1960</v>
      </c>
      <c r="C1060" s="9" t="str">
        <f>IF(AND('1. Criteria &amp; Spec Matrix'!E141='3. Dropdowns'!C119,'1. Criteria &amp; Spec Matrix'!E161='3. Dropdowns'!C122),"Show",
IF(AND('1. Criteria &amp; Spec Matrix'!C141="Show",'1. Criteria &amp; Spec Matrix'!E141=""),"Show",
IF(AND('1. Criteria &amp; Spec Matrix'!C161="Show",'1. Criteria &amp; Spec Matrix'!E161=""),"Show","Hide")))</f>
        <v>Show</v>
      </c>
      <c r="F1060" s="78"/>
      <c r="G1060" s="70" t="str">
        <f>CHAR(97+COUNTIF($C$1049:C1059,"Show")) &amp; "."</f>
        <v>l.</v>
      </c>
      <c r="H1060" s="28" t="s">
        <v>1959</v>
      </c>
    </row>
    <row r="1061" spans="2:8" ht="45" hidden="1" outlineLevel="2">
      <c r="B1061" s="12" t="s">
        <v>1962</v>
      </c>
      <c r="C1061" s="9" t="str">
        <f>IF(AND('1. Criteria &amp; Spec Matrix'!E141='3. Dropdowns'!C119,'1. Criteria &amp; Spec Matrix'!E161='3. Dropdowns'!C123),"Show",
IF(AND('1. Criteria &amp; Spec Matrix'!C141="Show",'1. Criteria &amp; Spec Matrix'!E141=""),"Show",
IF(AND('1. Criteria &amp; Spec Matrix'!C161="Show",'1. Criteria &amp; Spec Matrix'!E161=""),"Show","Hide")))</f>
        <v>Show</v>
      </c>
      <c r="F1061" s="78"/>
      <c r="G1061" s="70" t="str">
        <f>CHAR(97+COUNTIF($C$1049:C1060,"Show")) &amp; "."</f>
        <v>m.</v>
      </c>
      <c r="H1061" s="75" t="s">
        <v>1961</v>
      </c>
    </row>
    <row r="1062" spans="2:8" hidden="1" outlineLevel="2">
      <c r="B1062" s="12" t="s">
        <v>724</v>
      </c>
      <c r="C1062" s="7" t="str">
        <f>IF(COUNTIF(C1063:C1070,"Show")&gt;0,"Show","Hide")</f>
        <v>Show</v>
      </c>
      <c r="F1062" s="78" t="str">
        <f>(2+COUNTIF(C983,"Show")+COUNTIF(C996,"Show")+COUNTIF(C999,"Show")+COUNTIF(C1002,"Show")+COUNTIF(C1007,"Show")+COUNTIF(C1048,"Show")) &amp; "."</f>
        <v>8.</v>
      </c>
      <c r="G1062" s="71" t="s">
        <v>92</v>
      </c>
      <c r="H1062" s="28"/>
    </row>
    <row r="1063" spans="2:8" hidden="1" outlineLevel="2">
      <c r="B1063" s="12" t="s">
        <v>725</v>
      </c>
      <c r="C1063" s="2" t="str">
        <f>IF(OR('1. Criteria &amp; Spec Matrix'!E162='3. Dropdowns'!C125,'1. Criteria &amp; Spec Matrix'!E162='3. Dropdowns'!C126,'1. Criteria &amp; Spec Matrix'!E162=""),"Show")</f>
        <v>Show</v>
      </c>
      <c r="F1063" s="78"/>
      <c r="G1063" s="70" t="s">
        <v>133</v>
      </c>
      <c r="H1063" s="28" t="s">
        <v>732</v>
      </c>
    </row>
    <row r="1064" spans="2:8" hidden="1" outlineLevel="2">
      <c r="B1064" s="12" t="s">
        <v>725</v>
      </c>
      <c r="C1064" s="2" t="str">
        <f>C1063</f>
        <v>Show</v>
      </c>
      <c r="F1064" s="78"/>
      <c r="G1064" s="70" t="str">
        <f>CHAR(97+COUNTIF($C$1063:C1063,"Show")) &amp; "."</f>
        <v>b.</v>
      </c>
      <c r="H1064" s="28" t="s">
        <v>731</v>
      </c>
    </row>
    <row r="1065" spans="2:8" hidden="1" outlineLevel="2">
      <c r="B1065" s="12" t="s">
        <v>725</v>
      </c>
      <c r="C1065" s="2" t="str">
        <f>C1063</f>
        <v>Show</v>
      </c>
      <c r="F1065" s="78"/>
      <c r="G1065" s="70" t="str">
        <f>CHAR(97+COUNTIF($C$1063:C1064,"Show")) &amp; "."</f>
        <v>c.</v>
      </c>
      <c r="H1065" s="28" t="s">
        <v>733</v>
      </c>
    </row>
    <row r="1066" spans="2:8" ht="17.100000000000001" hidden="1" customHeight="1" outlineLevel="2">
      <c r="B1066" s="12" t="s">
        <v>726</v>
      </c>
      <c r="C1066" s="2" t="str">
        <f>IF(OR('1. Criteria &amp; Spec Matrix'!E162='3. Dropdowns'!C126,'1. Criteria &amp; Spec Matrix'!E162=""),"Show")</f>
        <v>Show</v>
      </c>
      <c r="F1066" s="78"/>
      <c r="G1066" s="70" t="str">
        <f>CHAR(97+COUNTIF($C$1063:C1065,"Show")) &amp; "."</f>
        <v>d.</v>
      </c>
      <c r="H1066" s="28" t="s">
        <v>734</v>
      </c>
    </row>
    <row r="1067" spans="2:8" ht="30" hidden="1" outlineLevel="2">
      <c r="B1067" s="12" t="s">
        <v>726</v>
      </c>
      <c r="C1067" s="2" t="str">
        <f>C1066</f>
        <v>Show</v>
      </c>
      <c r="F1067" s="78"/>
      <c r="G1067" s="70" t="str">
        <f>CHAR(97+COUNTIF($C$1063:C1066,"Show")) &amp; "."</f>
        <v>e.</v>
      </c>
      <c r="H1067" s="28" t="s">
        <v>735</v>
      </c>
    </row>
    <row r="1068" spans="2:8" hidden="1" outlineLevel="2">
      <c r="B1068" s="12" t="s">
        <v>726</v>
      </c>
      <c r="C1068" s="2" t="str">
        <f>C1066</f>
        <v>Show</v>
      </c>
      <c r="F1068" s="78"/>
      <c r="G1068" s="70" t="str">
        <f>CHAR(97+COUNTIF($C$1063:C1067,"Show")) &amp; "."</f>
        <v>f.</v>
      </c>
      <c r="H1068" s="28" t="s">
        <v>736</v>
      </c>
    </row>
    <row r="1069" spans="2:8" ht="30" hidden="1" outlineLevel="2">
      <c r="B1069" s="12" t="s">
        <v>726</v>
      </c>
      <c r="C1069" s="2" t="str">
        <f>C1066</f>
        <v>Show</v>
      </c>
      <c r="F1069" s="78"/>
      <c r="G1069" s="70" t="str">
        <f>CHAR(97+COUNTIF($C$1063:C1068,"Show")) &amp; "."</f>
        <v>g.</v>
      </c>
      <c r="H1069" s="28" t="s">
        <v>737</v>
      </c>
    </row>
    <row r="1070" spans="2:8" ht="30" hidden="1" outlineLevel="2">
      <c r="B1070" s="12" t="s">
        <v>726</v>
      </c>
      <c r="C1070" s="2" t="str">
        <f>C1066</f>
        <v>Show</v>
      </c>
      <c r="F1070" s="78"/>
      <c r="G1070" s="70" t="str">
        <f>CHAR(97+COUNTIF($C$1063:C1069,"Show")) &amp; "."</f>
        <v>h.</v>
      </c>
      <c r="H1070" s="28" t="s">
        <v>3105</v>
      </c>
    </row>
    <row r="1071" spans="2:8" hidden="1" outlineLevel="2">
      <c r="B1071" s="76"/>
      <c r="C1071" s="7" t="s">
        <v>116</v>
      </c>
      <c r="E1071" s="104" t="s">
        <v>125</v>
      </c>
      <c r="F1071" s="11" t="s">
        <v>357</v>
      </c>
      <c r="H1071" s="106"/>
    </row>
    <row r="1072" spans="2:8" hidden="1" outlineLevel="2">
      <c r="B1072" s="12" t="s">
        <v>359</v>
      </c>
      <c r="C1072" s="9" t="str">
        <f>IF(OR(C738="Show",C739="Show"),"Show","Hide")</f>
        <v>Show</v>
      </c>
      <c r="F1072" s="78" t="s">
        <v>121</v>
      </c>
      <c r="G1072" s="71" t="s">
        <v>2472</v>
      </c>
    </row>
    <row r="1073" spans="2:8" hidden="1" outlineLevel="2">
      <c r="B1073" s="12" t="s">
        <v>359</v>
      </c>
      <c r="C1073" s="9" t="str">
        <f>IF(OR(C738="Show",C739="Show"),"Show","Hide")</f>
        <v>Show</v>
      </c>
      <c r="G1073" s="70" t="s">
        <v>133</v>
      </c>
      <c r="H1073" s="28" t="s">
        <v>362</v>
      </c>
    </row>
    <row r="1074" spans="2:8" ht="30" hidden="1" outlineLevel="2">
      <c r="B1074" s="12" t="s">
        <v>359</v>
      </c>
      <c r="C1074" s="9" t="str">
        <f>C1073</f>
        <v>Show</v>
      </c>
      <c r="G1074" s="70" t="str">
        <f>CHAR(97+COUNTIF($C$1073:C1073,"Show")) &amp; "."</f>
        <v>b.</v>
      </c>
      <c r="H1074" s="28" t="s">
        <v>2996</v>
      </c>
    </row>
    <row r="1075" spans="2:8" ht="30" hidden="1" outlineLevel="2">
      <c r="B1075" s="12" t="s">
        <v>2943</v>
      </c>
      <c r="C1075" s="9" t="str">
        <f>IF(OR('1. Criteria &amp; Spec Matrix'!E165='3. Dropdowns'!C129,'1. Criteria &amp; Spec Matrix'!E165=""),"Show","Hide")</f>
        <v>Show</v>
      </c>
      <c r="G1075" s="70" t="str">
        <f>CHAR(97+COUNTIF($C$1073:C1074,"Show")) &amp; "."</f>
        <v>c.</v>
      </c>
      <c r="H1075" s="28" t="s">
        <v>2944</v>
      </c>
    </row>
    <row r="1076" spans="2:8" hidden="1" outlineLevel="2">
      <c r="B1076" s="12" t="s">
        <v>2473</v>
      </c>
      <c r="C1076" s="7" t="str">
        <f>IF(COUNTIF(C1077:C1079,"Show")&gt;0,"Show","Hide")</f>
        <v>Show</v>
      </c>
      <c r="F1076" s="108" t="str">
        <f>(1+COUNTIF(C1072,"Show")) &amp; "."</f>
        <v>2.</v>
      </c>
      <c r="G1076" s="71" t="s">
        <v>2451</v>
      </c>
    </row>
    <row r="1077" spans="2:8" hidden="1" outlineLevel="2">
      <c r="B1077" s="12" t="s">
        <v>370</v>
      </c>
      <c r="C1077" s="9" t="str">
        <f>IF(OR('1. Criteria &amp; Spec Matrix'!C166="Show",'1. Criteria &amp; Spec Matrix'!E167='3. Dropdowns'!C131),"Show",
IF(AND('1. Criteria &amp; Spec Matrix'!C167="Show",'1. Criteria &amp; Spec Matrix'!E167=""),"Show","Hide"))</f>
        <v>Show</v>
      </c>
      <c r="F1077" s="108"/>
      <c r="G1077" s="70" t="s">
        <v>133</v>
      </c>
      <c r="H1077" s="28" t="s">
        <v>889</v>
      </c>
    </row>
    <row r="1078" spans="2:8" hidden="1" outlineLevel="2">
      <c r="B1078" s="12" t="s">
        <v>380</v>
      </c>
      <c r="C1078" s="9" t="str">
        <f>IF(OR('1. Criteria &amp; Spec Matrix'!E169='3. Dropdowns'!C134,'1. Criteria &amp; Spec Matrix'!E169="",'1. Criteria &amp; Spec Matrix'!E169='3. Dropdowns'!C137),"Show","Hide")</f>
        <v>Show</v>
      </c>
      <c r="G1078" s="70" t="str">
        <f>CHAR(97+COUNTIF($C$1077:C1077,"Show")) &amp; "."</f>
        <v>b.</v>
      </c>
      <c r="H1078" s="28" t="s">
        <v>382</v>
      </c>
    </row>
    <row r="1079" spans="2:8" hidden="1" outlineLevel="2">
      <c r="B1079" s="12" t="s">
        <v>381</v>
      </c>
      <c r="C1079" s="9" t="str">
        <f>IF(OR('1. Criteria &amp; Spec Matrix'!E169='3. Dropdowns'!C135,'1. Criteria &amp; Spec Matrix'!E169="",'1. Criteria &amp; Spec Matrix'!E169='3. Dropdowns'!C138),"Show","Hide")</f>
        <v>Show</v>
      </c>
      <c r="F1079" s="108"/>
      <c r="G1079" s="70" t="str">
        <f>CHAR(97+COUNTIF($C$1077:C1078,"Show")) &amp; "."</f>
        <v>c.</v>
      </c>
      <c r="H1079" s="28" t="s">
        <v>385</v>
      </c>
    </row>
    <row r="1080" spans="2:8" hidden="1" outlineLevel="2">
      <c r="B1080" s="12" t="s">
        <v>473</v>
      </c>
      <c r="C1080" s="9" t="str">
        <f>IF(OR('1. Criteria &amp; Spec Matrix'!E170="",'1. Criteria &amp; Spec Matrix'!E170='3. Dropdowns'!C142,'1. Criteria &amp; Spec Matrix'!E170='3. Dropdowns'!C144,'1. Criteria &amp; Spec Matrix'!E170='3. Dropdowns'!C145,'1. Criteria &amp; Spec Matrix'!E170='3. Dropdowns'!C146),"Show","Hide")</f>
        <v>Show</v>
      </c>
      <c r="F1080" s="78" t="str">
        <f>(1+COUNTIF(C1072,"Show")+COUNTIF(C1076,"Show")) &amp; "."</f>
        <v>3.</v>
      </c>
      <c r="G1080" s="71" t="s">
        <v>2474</v>
      </c>
      <c r="H1080" s="28"/>
    </row>
    <row r="1081" spans="2:8" ht="60" hidden="1" customHeight="1" outlineLevel="2">
      <c r="B1081" s="12" t="s">
        <v>435</v>
      </c>
      <c r="C1081" s="9" t="str">
        <f>C1080</f>
        <v>Show</v>
      </c>
      <c r="G1081" s="70" t="s">
        <v>133</v>
      </c>
      <c r="H1081" s="28" t="s">
        <v>436</v>
      </c>
    </row>
    <row r="1082" spans="2:8" hidden="1" outlineLevel="2">
      <c r="B1082" s="12" t="s">
        <v>464</v>
      </c>
      <c r="C1082" s="7" t="str">
        <f>IF(COUNTIF(C1083:C1090,"Show")&gt;0,"Show","Hide")</f>
        <v>Show</v>
      </c>
      <c r="F1082" s="78" t="str">
        <f>(1+COUNTIF(C1072,"Show")+COUNTIF(C1076,"Show")+COUNTIF(C1080,"Show")) &amp; "."</f>
        <v>4.</v>
      </c>
      <c r="G1082" s="112" t="s">
        <v>2453</v>
      </c>
      <c r="H1082" s="28"/>
    </row>
    <row r="1083" spans="2:8" ht="30" hidden="1" outlineLevel="2">
      <c r="B1083" s="12" t="s">
        <v>464</v>
      </c>
      <c r="C1083" s="9" t="str">
        <f>IF(OR('1. Criteria &amp; Spec Matrix'!E180='3. Dropdowns'!C162,'1. Criteria &amp; Spec Matrix'!E180='3. Dropdowns'!C163,'1. Criteria &amp; Spec Matrix'!E180='3. Dropdowns'!C164,'1. Criteria &amp; Spec Matrix'!E180='3. Dropdowns'!C165,'1. Criteria &amp; Spec Matrix'!E180=""),"Show","Hide")</f>
        <v>Show</v>
      </c>
      <c r="F1083" s="113"/>
      <c r="G1083" s="70" t="s">
        <v>133</v>
      </c>
      <c r="H1083" s="28" t="s">
        <v>2945</v>
      </c>
    </row>
    <row r="1084" spans="2:8" ht="30" hidden="1" outlineLevel="2">
      <c r="B1084" s="12" t="s">
        <v>462</v>
      </c>
      <c r="C1084" s="9" t="str">
        <f>IF(OR('1. Criteria &amp; Spec Matrix'!E180='3. Dropdowns'!C162,'1. Criteria &amp; Spec Matrix'!E180=""),"Show","Hide")</f>
        <v>Show</v>
      </c>
      <c r="G1084" s="70" t="str">
        <f>CHAR(97+COUNTIF($C$1083:C1083,"Show")) &amp; "."</f>
        <v>b.</v>
      </c>
      <c r="H1084" s="28" t="s">
        <v>466</v>
      </c>
    </row>
    <row r="1085" spans="2:8" ht="30" hidden="1" outlineLevel="2">
      <c r="B1085" s="12" t="s">
        <v>463</v>
      </c>
      <c r="C1085" s="9" t="str">
        <f>IF(OR('1. Criteria &amp; Spec Matrix'!E180='3. Dropdowns'!C163,'1. Criteria &amp; Spec Matrix'!E180=""),"Show","Hide")</f>
        <v>Show</v>
      </c>
      <c r="G1085" s="70" t="str">
        <f>CHAR(97+COUNTIF($C$1083:C1084,"Show")) &amp; "."</f>
        <v>c.</v>
      </c>
      <c r="H1085" s="28" t="s">
        <v>2946</v>
      </c>
    </row>
    <row r="1086" spans="2:8" ht="45" hidden="1" outlineLevel="2">
      <c r="B1086" s="12" t="s">
        <v>468</v>
      </c>
      <c r="C1086" s="9" t="str">
        <f>IF(OR('1. Criteria &amp; Spec Matrix'!E180='3. Dropdowns'!C164,'1. Criteria &amp; Spec Matrix'!E180=""),"Show","Hide")</f>
        <v>Show</v>
      </c>
      <c r="G1086" s="70" t="str">
        <f>CHAR(97+COUNTIF($C$1083:C1085,"Show")) &amp; "."</f>
        <v>d.</v>
      </c>
      <c r="H1086" s="28" t="s">
        <v>467</v>
      </c>
    </row>
    <row r="1087" spans="2:8" ht="45" hidden="1" outlineLevel="2">
      <c r="B1087" s="12" t="s">
        <v>465</v>
      </c>
      <c r="C1087" s="9" t="str">
        <f>IF(OR('1. Criteria &amp; Spec Matrix'!E180='3. Dropdowns'!C165,'1. Criteria &amp; Spec Matrix'!E180=""),"Show","Hide")</f>
        <v>Show</v>
      </c>
      <c r="G1087" s="70" t="str">
        <f>CHAR(97+COUNTIF($C$1083:C1086,"Show")) &amp; "."</f>
        <v>e.</v>
      </c>
      <c r="H1087" s="28" t="s">
        <v>469</v>
      </c>
    </row>
    <row r="1088" spans="2:8" hidden="1" outlineLevel="2">
      <c r="B1088" s="12" t="s">
        <v>465</v>
      </c>
      <c r="C1088" s="9" t="str">
        <f>C1087</f>
        <v>Show</v>
      </c>
      <c r="G1088" s="70" t="str">
        <f>CHAR(97+COUNTIF($C$1083:C1087,"Show")) &amp; "."</f>
        <v>f.</v>
      </c>
      <c r="H1088" s="28" t="s">
        <v>470</v>
      </c>
    </row>
    <row r="1089" spans="2:8" hidden="1" outlineLevel="2">
      <c r="B1089" s="12" t="s">
        <v>465</v>
      </c>
      <c r="C1089" s="9" t="str">
        <f>C1087</f>
        <v>Show</v>
      </c>
      <c r="G1089" s="70" t="str">
        <f>CHAR(97+COUNTIF($C$1083:C1088,"Show")) &amp; "."</f>
        <v>g.</v>
      </c>
      <c r="H1089" s="28" t="s">
        <v>471</v>
      </c>
    </row>
    <row r="1090" spans="2:8" ht="45" hidden="1" outlineLevel="2">
      <c r="B1090" s="12" t="s">
        <v>472</v>
      </c>
      <c r="C1090" s="9" t="str">
        <f>IF(AND(OR('1. Criteria &amp; Spec Matrix'!D7='3. Dropdowns'!C18,'1. Criteria &amp; Spec Matrix'!D7='3. Dropdowns'!C19,'1. Criteria &amp; Spec Matrix'!D7='3. Dropdowns'!C20),'1. Criteria &amp; Spec Matrix'!E180='3. Dropdowns'!C165),"Show",
IF('1. Criteria &amp; Spec Matrix'!E180="","Show","Hide"))</f>
        <v>Show</v>
      </c>
      <c r="G1090" s="70" t="str">
        <f>CHAR(97+COUNTIF($C$1083:C1089,"Show")) &amp; "."</f>
        <v>h.</v>
      </c>
      <c r="H1090" s="28" t="s">
        <v>2947</v>
      </c>
    </row>
    <row r="1091" spans="2:8" hidden="1" outlineLevel="2">
      <c r="B1091" s="12" t="s">
        <v>487</v>
      </c>
      <c r="C1091" s="7" t="str">
        <f>IF(COUNTIF(C1092:C1095,"Show")&gt;0,"Show","Hide")</f>
        <v>Show</v>
      </c>
      <c r="F1091" s="108" t="str">
        <f>(1+COUNTIF(C1072,"Show")+COUNTIF(C1076,"Show")+COUNTIF(C1080,"Show")+COUNTIF(C1082,"Show")) &amp; "."</f>
        <v>5.</v>
      </c>
      <c r="G1091" s="69" t="s">
        <v>2948</v>
      </c>
      <c r="H1091" s="28"/>
    </row>
    <row r="1092" spans="2:8" ht="45" hidden="1" outlineLevel="2">
      <c r="B1092" s="12" t="s">
        <v>487</v>
      </c>
      <c r="C1092" s="9" t="str">
        <f>IF('1. Criteria &amp; Spec Matrix'!E181='3. Dropdowns'!C166,"Hide","Show")</f>
        <v>Show</v>
      </c>
      <c r="G1092" s="70" t="s">
        <v>133</v>
      </c>
      <c r="H1092" s="28" t="s">
        <v>2597</v>
      </c>
    </row>
    <row r="1093" spans="2:8" ht="60" hidden="1" outlineLevel="2">
      <c r="B1093" s="12" t="s">
        <v>487</v>
      </c>
      <c r="C1093" s="9" t="str">
        <f>C1092</f>
        <v>Show</v>
      </c>
      <c r="G1093" s="70" t="str">
        <f>CHAR(97+COUNTIF($C$1092:C1092,"Show")) &amp; "."</f>
        <v>b.</v>
      </c>
      <c r="H1093" s="28" t="s">
        <v>485</v>
      </c>
    </row>
    <row r="1094" spans="2:8" hidden="1" outlineLevel="2">
      <c r="B1094" s="12" t="s">
        <v>487</v>
      </c>
      <c r="C1094" s="9" t="str">
        <f>C1092</f>
        <v>Show</v>
      </c>
      <c r="G1094" s="70" t="str">
        <f>CHAR(97+COUNTIF($C$1092:C1093,"Show")) &amp; "."</f>
        <v>c.</v>
      </c>
      <c r="H1094" s="28" t="s">
        <v>486</v>
      </c>
    </row>
    <row r="1095" spans="2:8" ht="30" hidden="1" outlineLevel="2">
      <c r="B1095" s="12" t="s">
        <v>487</v>
      </c>
      <c r="C1095" s="9" t="str">
        <f>C1092</f>
        <v>Show</v>
      </c>
      <c r="G1095" s="70" t="str">
        <f>CHAR(97+COUNTIF($C$1092:C1094,"Show")) &amp; "."</f>
        <v>d.</v>
      </c>
      <c r="H1095" s="28" t="s">
        <v>2596</v>
      </c>
    </row>
    <row r="1096" spans="2:8" hidden="1" outlineLevel="2">
      <c r="B1096" s="12" t="s">
        <v>3035</v>
      </c>
      <c r="C1096" s="7" t="str">
        <f>IF(COUNTIF(C1097:C1098,"Show")&gt;0,"Show","Hide")</f>
        <v>Show</v>
      </c>
      <c r="F1096" s="78" t="str">
        <f>(1+COUNTIF(C1072,"Show")+COUNTIF(C1076,"Show")+COUNTIF(C1080,"Show")+COUNTIF(C1082,"Show")+COUNTIF(C1091,"Show")) &amp; "."</f>
        <v>6.</v>
      </c>
      <c r="G1096" s="71" t="s">
        <v>2455</v>
      </c>
      <c r="H1096" s="28"/>
    </row>
    <row r="1097" spans="2:8" ht="17.100000000000001" hidden="1" customHeight="1" outlineLevel="2">
      <c r="B1097" s="12" t="s">
        <v>3036</v>
      </c>
      <c r="C1097" s="9" t="str">
        <f>IF('1. Criteria &amp; Spec Matrix'!F5='3. Dropdowns'!C12,"Hide",
IF(OR('1. Criteria &amp; Spec Matrix'!E182="",'1. Criteria &amp; Spec Matrix'!E182='3. Dropdowns'!C173),"Show","Hide"))</f>
        <v>Show</v>
      </c>
      <c r="G1097" s="70" t="s">
        <v>133</v>
      </c>
      <c r="H1097" s="28" t="s">
        <v>497</v>
      </c>
    </row>
    <row r="1098" spans="2:8" ht="30" hidden="1" outlineLevel="2">
      <c r="B1098" s="12" t="s">
        <v>496</v>
      </c>
      <c r="C1098" s="9" t="str">
        <f>IF('1. Criteria &amp; Spec Matrix'!F5='3. Dropdowns'!C12,"Hide",
IF(OR('1. Criteria &amp; Spec Matrix'!E182="",'1. Criteria &amp; Spec Matrix'!E182='3. Dropdowns'!C174),"Show","Hide"))</f>
        <v>Show</v>
      </c>
      <c r="G1098" s="70" t="str">
        <f>CHAR(97+COUNTIF($C$1097:C1097,"Show")) &amp; "."</f>
        <v>b.</v>
      </c>
      <c r="H1098" s="28" t="s">
        <v>498</v>
      </c>
    </row>
    <row r="1099" spans="2:8" hidden="1" outlineLevel="2">
      <c r="B1099" s="76"/>
      <c r="C1099" s="7" t="s">
        <v>116</v>
      </c>
      <c r="E1099" s="70" t="s">
        <v>158</v>
      </c>
      <c r="F1099" s="71" t="s">
        <v>501</v>
      </c>
      <c r="G1099" s="114"/>
      <c r="H1099" s="115"/>
    </row>
    <row r="1100" spans="2:8" hidden="1" outlineLevel="2">
      <c r="B1100" s="12" t="s">
        <v>2479</v>
      </c>
      <c r="C1100" s="7" t="str">
        <f>IF(COUNTIF(C1101:C1102,"Show")&gt;0,"Show","Hide")</f>
        <v>Show</v>
      </c>
      <c r="F1100" s="78" t="s">
        <v>121</v>
      </c>
      <c r="G1100" s="71" t="s">
        <v>2483</v>
      </c>
      <c r="H1100" s="28"/>
    </row>
    <row r="1101" spans="2:8" ht="30" hidden="1" outlineLevel="2">
      <c r="B1101" s="12" t="s">
        <v>2480</v>
      </c>
      <c r="C1101" s="9" t="str">
        <f>IF(OR('1. Criteria &amp; Spec Matrix'!E190='3. Dropdowns'!C193,'1. Criteria &amp; Spec Matrix'!E190='3. Dropdowns'!C194,'1. Criteria &amp; Spec Matrix'!E190='3. Dropdowns'!C195,'1. Criteria &amp; Spec Matrix'!E190='3. Dropdowns'!C196),"Hide",
IF(AND('1. Criteria &amp; Spec Matrix'!D5='3. Dropdowns'!C7,OR('1. Criteria &amp; Spec Matrix'!D7='3. Dropdowns'!C18,'1. Criteria &amp; Spec Matrix'!D7='3. Dropdowns'!C19,'1. Criteria &amp; Spec Matrix'!D7='3. Dropdowns'!C20)),"Show",
IF(AND('1. Criteria &amp; Spec Matrix'!D5="",'1. Criteria &amp; Spec Matrix'!D7=""),"Show",
IF(AND('1. Criteria &amp; Spec Matrix'!D5='3. Dropdowns'!C7,'1. Criteria &amp; Spec Matrix'!D7=""),"Show",
IF(AND('1. Criteria &amp; Spec Matrix'!D5="",OR('1. Criteria &amp; Spec Matrix'!D7='3. Dropdowns'!C18,'1. Criteria &amp; Spec Matrix'!D7='3. Dropdowns'!C19,'1. Criteria &amp; Spec Matrix'!D7='3. Dropdowns'!C20)),"Show","Hide")))))</f>
        <v>Show</v>
      </c>
      <c r="F1101" s="116"/>
      <c r="G1101" s="70" t="s">
        <v>133</v>
      </c>
      <c r="H1101" s="117" t="s">
        <v>507</v>
      </c>
    </row>
    <row r="1102" spans="2:8" hidden="1" outlineLevel="2">
      <c r="B1102" s="12" t="s">
        <v>504</v>
      </c>
      <c r="C1102" s="9" t="str">
        <f>IF(OR('1. Criteria &amp; Spec Matrix'!E190='3. Dropdowns'!C193,'1. Criteria &amp; Spec Matrix'!E190='3. Dropdowns'!C194,'1. Criteria &amp; Spec Matrix'!E190='3. Dropdowns'!C195,'1. Criteria &amp; Spec Matrix'!E190='3. Dropdowns'!C196),"Hide",
IF(AND('1. Criteria &amp; Spec Matrix'!D5='3. Dropdowns'!C7,'1. Criteria &amp; Spec Matrix'!D7='3. Dropdowns'!C17),"Show",
IF(AND('1. Criteria &amp; Spec Matrix'!D5="",'1. Criteria &amp; Spec Matrix'!D7=""),"Show",
IF(AND('1. Criteria &amp; Spec Matrix'!D5='3. Dropdowns'!C7,'1. Criteria &amp; Spec Matrix'!D7=""),"Show",
IF(AND('1. Criteria &amp; Spec Matrix'!D5="",'1. Criteria &amp; Spec Matrix'!D7='3. Dropdowns'!C17),"Show","Hide")))))</f>
        <v>Show</v>
      </c>
      <c r="F1102" s="116"/>
      <c r="G1102" s="70" t="str">
        <f>CHAR(97+COUNTIF($C$1101:C1101,"Show")) &amp; "."</f>
        <v>b.</v>
      </c>
      <c r="H1102" s="117" t="s">
        <v>508</v>
      </c>
    </row>
    <row r="1103" spans="2:8" hidden="1" outlineLevel="2">
      <c r="B1103" s="12" t="s">
        <v>2478</v>
      </c>
      <c r="C1103" s="9" t="str">
        <f>IF(COUNTIF(C1104:C1112,"Show")&gt;0,"Show","Hide")</f>
        <v>Show</v>
      </c>
      <c r="F1103" s="78" t="str">
        <f>(1+COUNTIF(C1100,"Show")) &amp; "."</f>
        <v>2.</v>
      </c>
      <c r="G1103" s="71" t="s">
        <v>2466</v>
      </c>
      <c r="H1103" s="117"/>
    </row>
    <row r="1104" spans="2:8" ht="45" hidden="1" outlineLevel="2">
      <c r="B1104" s="12" t="s">
        <v>2481</v>
      </c>
      <c r="C1104" s="9" t="str">
        <f>IF(NOT(OR('1. Criteria &amp; Spec Matrix'!E190="",'1. Criteria &amp; Spec Matrix'!E190='3. Dropdowns'!C191)),"Hide",IF(OR('1. Criteria &amp; Spec Matrix'!E186='3. Dropdowns'!C175,'1. Criteria &amp; Spec Matrix'!E186='3. Dropdowns'!C177),"Show",IF(AND('1. Criteria &amp; Spec Matrix'!C186="Show",'1. Criteria &amp; Spec Matrix'!E186=""),"Show","Hide")))</f>
        <v>Show</v>
      </c>
      <c r="F1104" s="116"/>
      <c r="G1104" s="70" t="s">
        <v>133</v>
      </c>
      <c r="H1104" s="117" t="s">
        <v>2598</v>
      </c>
    </row>
    <row r="1105" spans="2:8" ht="45" hidden="1" outlineLevel="2">
      <c r="B1105" s="12" t="s">
        <v>763</v>
      </c>
      <c r="C1105" s="9" t="str">
        <f>IF(NOT(OR('1. Criteria &amp; Spec Matrix'!E190="",'1. Criteria &amp; Spec Matrix'!E190='3. Dropdowns'!C191)),"Hide",IF('1. Criteria &amp; Spec Matrix'!E186='3. Dropdowns'!C176,"Show",IF(AND('1. Criteria &amp; Spec Matrix'!C186="Show",'1. Criteria &amp; Spec Matrix'!E186=""),"Show","Hide")))</f>
        <v>Show</v>
      </c>
      <c r="F1105" s="116"/>
      <c r="G1105" s="70" t="str">
        <f>CHAR(97+COUNTIF($C$1104:C1104,"Show")) &amp; "."</f>
        <v>b.</v>
      </c>
      <c r="H1105" s="117" t="s">
        <v>2599</v>
      </c>
    </row>
    <row r="1106" spans="2:8" ht="45" hidden="1" outlineLevel="2">
      <c r="B1106" s="12" t="s">
        <v>750</v>
      </c>
      <c r="C1106" s="9" t="str">
        <f>IF(NOT(OR('1. Criteria &amp; Spec Matrix'!E190="",'1. Criteria &amp; Spec Matrix'!E190='3. Dropdowns'!C191)),"Hide",IF('1. Criteria &amp; Spec Matrix'!E186='3. Dropdowns'!C178,"Show",IF(AND('1. Criteria &amp; Spec Matrix'!C186="Show",'1. Criteria &amp; Spec Matrix'!E186=""),"Show","Hide")))</f>
        <v>Show</v>
      </c>
      <c r="F1106" s="116"/>
      <c r="G1106" s="70" t="str">
        <f>CHAR(97+COUNTIF($C$1104:C1105,"Show")) &amp; "."</f>
        <v>c.</v>
      </c>
      <c r="H1106" s="117" t="s">
        <v>981</v>
      </c>
    </row>
    <row r="1107" spans="2:8" ht="30.95" hidden="1" customHeight="1" outlineLevel="2">
      <c r="B1107" s="12" t="s">
        <v>764</v>
      </c>
      <c r="C1107" s="9" t="str">
        <f>IF(NOT(OR('1. Criteria &amp; Spec Matrix'!E190="",'1. Criteria &amp; Spec Matrix'!E190='3. Dropdowns'!C191)),"Hide",IF('1. Criteria &amp; Spec Matrix'!E186='3. Dropdowns'!C179,"Show",IF(AND('1. Criteria &amp; Spec Matrix'!C186="Show",'1. Criteria &amp; Spec Matrix'!E186=""),"Show","Hide")))</f>
        <v>Show</v>
      </c>
      <c r="F1107" s="116"/>
      <c r="G1107" s="70" t="str">
        <f>CHAR(97+COUNTIF($C$1104:C1106,"Show")) &amp; "."</f>
        <v>d.</v>
      </c>
      <c r="H1107" s="117" t="s">
        <v>982</v>
      </c>
    </row>
    <row r="1108" spans="2:8" ht="45" hidden="1" outlineLevel="2">
      <c r="B1108" s="12" t="s">
        <v>765</v>
      </c>
      <c r="C1108" s="9" t="str">
        <f>IF(OR('1. Criteria &amp; Spec Matrix'!E190='3. Dropdowns'!C193,'1. Criteria &amp; Spec Matrix'!E190='3. Dropdowns'!C194,'1. Criteria &amp; Spec Matrix'!E190='3. Dropdowns'!C195,'1. Criteria &amp; Spec Matrix'!E190='3. Dropdowns'!C196),"Hide",IF(OR('1. Criteria &amp; Spec Matrix'!E186='3. Dropdowns'!C180,'1. Criteria &amp; Spec Matrix'!E186='3. Dropdowns'!C177),"Show",IF(AND('1. Criteria &amp; Spec Matrix'!C186="Show",'1. Criteria &amp; Spec Matrix'!E186=""),"Show","Hide")))</f>
        <v>Show</v>
      </c>
      <c r="F1108" s="116"/>
      <c r="G1108" s="70" t="str">
        <f>CHAR(97+COUNTIF($C$1104:C1107,"Show")) &amp; "."</f>
        <v>e.</v>
      </c>
      <c r="H1108" s="117" t="s">
        <v>983</v>
      </c>
    </row>
    <row r="1109" spans="2:8" ht="45" hidden="1" outlineLevel="2">
      <c r="B1109" s="12" t="s">
        <v>757</v>
      </c>
      <c r="C1109" s="9" t="str">
        <f>IF(OR('1. Criteria &amp; Spec Matrix'!E190='3. Dropdowns'!C193,'1. Criteria &amp; Spec Matrix'!E190='3. Dropdowns'!C194,'1. Criteria &amp; Spec Matrix'!E190='3. Dropdowns'!C195,'1. Criteria &amp; Spec Matrix'!E190='3. Dropdowns'!C196),"Hide",
IF(OR('1. Criteria &amp; Spec Matrix'!E187='3. Dropdowns'!C182,'1. Criteria &amp; Spec Matrix'!E187='3. Dropdowns'!C184),"Show",
IF(AND('1. Criteria &amp; Spec Matrix'!C187="Show",'1. Criteria &amp; Spec Matrix'!E187=""),"Show","Hide")))</f>
        <v>Show</v>
      </c>
      <c r="F1109" s="116"/>
      <c r="G1109" s="70" t="str">
        <f>CHAR(97+COUNTIF($C$1104:C1108,"Show")) &amp; "."</f>
        <v>f.</v>
      </c>
      <c r="H1109" s="117" t="s">
        <v>2567</v>
      </c>
    </row>
    <row r="1110" spans="2:8" hidden="1" outlineLevel="2">
      <c r="B1110" s="12" t="s">
        <v>753</v>
      </c>
      <c r="C1110" s="9"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Dropdowns'!C196),"Hide",'1. Criteria &amp; Spec Matrix'!C186))</f>
        <v>Show</v>
      </c>
      <c r="F1110" s="116"/>
      <c r="G1110" s="70" t="str">
        <f>CHAR(97+COUNTIF($C$1104:C1109,"Show")) &amp; "."</f>
        <v>g.</v>
      </c>
      <c r="H1110" s="117" t="s">
        <v>766</v>
      </c>
    </row>
    <row r="1111" spans="2:8" ht="30" hidden="1" outlineLevel="2">
      <c r="B1111" s="12" t="s">
        <v>768</v>
      </c>
      <c r="C1111" s="9" t="str">
        <f>C1110</f>
        <v>Show</v>
      </c>
      <c r="F1111" s="116"/>
      <c r="G1111" s="70" t="str">
        <f>CHAR(97+COUNTIF($C$1104:C1110,"Show")) &amp; "."</f>
        <v>h.</v>
      </c>
      <c r="H1111" s="117" t="s">
        <v>767</v>
      </c>
    </row>
    <row r="1112" spans="2:8" ht="17.100000000000001" hidden="1" customHeight="1" outlineLevel="2">
      <c r="B1112" s="12" t="s">
        <v>3017</v>
      </c>
      <c r="C1112" s="9" t="str">
        <f>IF(AND('1. Criteria &amp; Spec Matrix'!E186='3. Dropdowns'!C181,'1. Criteria &amp; Spec Matrix'!F5='3. Dropdowns'!C12),"Show",IF(AND('1. Criteria &amp; Spec Matrix'!E186="",'1. Criteria &amp; Spec Matrix'!F5=""),"Show",
IF(AND('1. Criteria &amp; Spec Matrix'!E186="",'1. Criteria &amp; Spec Matrix'!F5='3. Dropdowns'!C12),"Show","Hide")))</f>
        <v>Show</v>
      </c>
      <c r="F1112" s="116"/>
      <c r="G1112" s="70" t="str">
        <f>CHAR(97+COUNTIF($C$1104:C1111,"Show")) &amp; "."</f>
        <v>i.</v>
      </c>
      <c r="H1112" s="117" t="s">
        <v>3039</v>
      </c>
    </row>
    <row r="1113" spans="2:8" hidden="1" outlineLevel="2">
      <c r="B1113" s="12" t="s">
        <v>2482</v>
      </c>
      <c r="C1113" s="7" t="str">
        <f>IF(COUNTIF(C1114:C1128,"Show")&gt;0,"Show","Hide")</f>
        <v>Show</v>
      </c>
      <c r="F1113" s="78" t="str">
        <f>(1+COUNTIF(C1100,"Show")+COUNTIF(C1103,"Show")) &amp; "."</f>
        <v>3.</v>
      </c>
      <c r="G1113" s="71" t="s">
        <v>2284</v>
      </c>
      <c r="H1113" s="117"/>
    </row>
    <row r="1114" spans="2:8" ht="60.95" hidden="1" customHeight="1" outlineLevel="2">
      <c r="B1114" s="12" t="s">
        <v>819</v>
      </c>
      <c r="C1114" s="9" t="str">
        <f>IF(AND(OR('1. Criteria &amp; Spec Matrix'!D7='3. Dropdowns'!C18,'1. Criteria &amp; Spec Matrix'!D7='3. Dropdowns'!C19,'1. Criteria &amp; Spec Matrix'!D7='3. Dropdowns'!C20),'1. Criteria &amp; Spec Matrix'!D5='3. Dropdowns'!C7,'1. Criteria &amp; Spec Matrix'!E190='3. Dropdowns'!C192),"Show",
IF('1. Criteria &amp; Spec Matrix'!E190="","Show","Hide"))</f>
        <v>Show</v>
      </c>
      <c r="F1114" s="116"/>
      <c r="G1114" s="70" t="s">
        <v>133</v>
      </c>
      <c r="H1114" s="117" t="s">
        <v>2601</v>
      </c>
    </row>
    <row r="1115" spans="2:8" ht="60" hidden="1" outlineLevel="2">
      <c r="B1115" s="12" t="s">
        <v>811</v>
      </c>
      <c r="C1115" s="9" t="str">
        <f>IF(AND('1. Criteria &amp; Spec Matrix'!D7='3. Dropdowns'!C17,'1. Criteria &amp; Spec Matrix'!D5='3. Dropdowns'!C7,'1. Criteria &amp; Spec Matrix'!E190='3. Dropdowns'!C192),"Show",
IF('1. Criteria &amp; Spec Matrix'!E190="","Show","Hide"))</f>
        <v>Show</v>
      </c>
      <c r="F1115" s="116"/>
      <c r="G1115" s="70" t="str">
        <f>CHAR(97+COUNTIF($C$1114:C1114,"Show")) &amp; "."</f>
        <v>b.</v>
      </c>
      <c r="H1115" s="117" t="s">
        <v>2600</v>
      </c>
    </row>
    <row r="1116" spans="2:8" ht="30" hidden="1" outlineLevel="2">
      <c r="B1116" s="12" t="s">
        <v>806</v>
      </c>
      <c r="C1116" s="9" t="str">
        <f>IF(AND('1. Criteria &amp; Spec Matrix'!E186='3. Dropdowns'!C175,'1. Criteria &amp; Spec Matrix'!E188='3. Dropdowns'!C185,'1. Criteria &amp; Spec Matrix'!E190='3. Dropdowns'!C192),"Show",
IF('1. Criteria &amp; Spec Matrix'!E190="","Show","Hide"))</f>
        <v>Show</v>
      </c>
      <c r="F1116" s="116"/>
      <c r="G1116" s="70" t="str">
        <f>CHAR(97+COUNTIF($C$1114:C1115,"Show")) &amp; "."</f>
        <v>c.</v>
      </c>
      <c r="H1116" s="117" t="s">
        <v>820</v>
      </c>
    </row>
    <row r="1117" spans="2:8" ht="30" hidden="1" outlineLevel="2">
      <c r="B1117" s="12" t="s">
        <v>808</v>
      </c>
      <c r="C1117" s="9" t="str">
        <f>IF(AND(OR('1. Criteria &amp; Spec Matrix'!D5='3. Dropdowns'!C9,'1. Criteria &amp; Spec Matrix'!E186='3. Dropdowns'!C177),OR('1. Criteria &amp; Spec Matrix'!E186='3. Dropdowns'!C175,'1. Criteria &amp; Spec Matrix'!E186='3. Dropdowns'!C176,'1. Criteria &amp; Spec Matrix'!E186='3. Dropdowns'!C177),'1. Criteria &amp; Spec Matrix'!E190='3. Dropdowns'!C192),"Show",
IF('1. Criteria &amp; Spec Matrix'!E190="","Show","Hide"))</f>
        <v>Show</v>
      </c>
      <c r="F1117" s="116"/>
      <c r="G1117" s="70" t="str">
        <f>CHAR(97+COUNTIF($C$1114:C1116,"Show")) &amp; "."</f>
        <v>d.</v>
      </c>
      <c r="H1117" s="117" t="s">
        <v>821</v>
      </c>
    </row>
    <row r="1118" spans="2:8" ht="60" hidden="1" outlineLevel="2">
      <c r="B1118" s="12" t="s">
        <v>984</v>
      </c>
      <c r="C1118" s="9" t="str">
        <f>IF(AND('1. Criteria &amp; Spec Matrix'!E190='3. Dropdowns'!C192,'1. Criteria &amp; Spec Matrix'!E186='3. Dropdowns'!C178),"Show",
IF('1. Criteria &amp; Spec Matrix'!E190="","Show","Hide"))</f>
        <v>Show</v>
      </c>
      <c r="F1118" s="116"/>
      <c r="G1118" s="70" t="str">
        <f>CHAR(97+COUNTIF($C$1114:C1117,"Show")) &amp; "."</f>
        <v>e.</v>
      </c>
      <c r="H1118" s="117" t="s">
        <v>2484</v>
      </c>
    </row>
    <row r="1119" spans="2:8" ht="32.1" hidden="1" customHeight="1" outlineLevel="2">
      <c r="B1119" s="12" t="s">
        <v>797</v>
      </c>
      <c r="C1119" s="9" t="str">
        <f>IF(AND('1. Criteria &amp; Spec Matrix'!E190='3. Dropdowns'!C192,'1. Criteria &amp; Spec Matrix'!E186='3. Dropdowns'!C179),"Show",
IF('1. Criteria &amp; Spec Matrix'!E190="","Show","Hide"))</f>
        <v>Show</v>
      </c>
      <c r="F1119" s="116"/>
      <c r="G1119" s="70" t="str">
        <f>CHAR(97+COUNTIF($C$1114:C1118,"Show")) &amp; "."</f>
        <v>f.</v>
      </c>
      <c r="H1119" s="117" t="s">
        <v>822</v>
      </c>
    </row>
    <row r="1120" spans="2:8" ht="30" hidden="1" outlineLevel="2">
      <c r="B1120" s="12" t="s">
        <v>798</v>
      </c>
      <c r="C1120" s="9" t="str">
        <f>IF(OR('1. Criteria &amp; Spec Matrix'!E190="",'1. Criteria &amp; Spec Matrix'!E190='3. Dropdowns'!C193),"Show","Hide")</f>
        <v>Show</v>
      </c>
      <c r="F1120" s="116"/>
      <c r="G1120" s="70" t="str">
        <f>CHAR(97+COUNTIF($C$1114:C1119,"Show")) &amp; "."</f>
        <v>g.</v>
      </c>
      <c r="H1120" s="117" t="s">
        <v>823</v>
      </c>
    </row>
    <row r="1121" spans="2:8" hidden="1" outlineLevel="2">
      <c r="B1121" s="12" t="s">
        <v>801</v>
      </c>
      <c r="C1121" s="9" t="str">
        <f>IF(OR('1. Criteria &amp; Spec Matrix'!E190="",'1. Criteria &amp; Spec Matrix'!E190='3. Dropdowns'!C194),"Show","Hide")</f>
        <v>Show</v>
      </c>
      <c r="F1121" s="116"/>
      <c r="G1121" s="70" t="str">
        <f>CHAR(97+COUNTIF($C$1114:C1120,"Show")) &amp; "."</f>
        <v>h.</v>
      </c>
      <c r="H1121" s="117" t="s">
        <v>824</v>
      </c>
    </row>
    <row r="1122" spans="2:8" ht="30" hidden="1" outlineLevel="2">
      <c r="B1122" s="12" t="s">
        <v>802</v>
      </c>
      <c r="C1122" s="9" t="str">
        <f>IF(OR('1. Criteria &amp; Spec Matrix'!E190="",'1. Criteria &amp; Spec Matrix'!E190='3. Dropdowns'!C195),"Show","Hide")</f>
        <v>Show</v>
      </c>
      <c r="F1122" s="116"/>
      <c r="G1122" s="70" t="str">
        <f>CHAR(97+COUNTIF($C$1114:C1121,"Show")) &amp; "."</f>
        <v>i.</v>
      </c>
      <c r="H1122" s="28" t="s">
        <v>825</v>
      </c>
    </row>
    <row r="1123" spans="2:8" hidden="1" outlineLevel="2">
      <c r="B1123" s="12" t="s">
        <v>803</v>
      </c>
      <c r="C1123" s="9" t="str">
        <f>IF(OR('1. Criteria &amp; Spec Matrix'!E190="",'1. Criteria &amp; Spec Matrix'!E190='3. Dropdowns'!C196),"Show","Hide")</f>
        <v>Show</v>
      </c>
      <c r="F1123" s="116"/>
      <c r="G1123" s="70" t="str">
        <f>CHAR(97+COUNTIF($C$1114:C1122,"Show")) &amp; "."</f>
        <v>j.</v>
      </c>
      <c r="H1123" s="117" t="s">
        <v>826</v>
      </c>
    </row>
    <row r="1124" spans="2:8" ht="30" hidden="1" outlineLevel="2">
      <c r="B1124" s="12" t="s">
        <v>813</v>
      </c>
      <c r="C1124" s="9" t="str">
        <f>IF(AND('1. Criteria &amp; Spec Matrix'!E190='3. Dropdowns'!C197,'1. Criteria &amp; Spec Matrix'!D5='3. Dropdowns'!C8,OR('1. Criteria &amp; Spec Matrix'!E186='3. Dropdowns'!C175,'1. Criteria &amp; Spec Matrix'!E186='3. Dropdowns'!C177)),"Show",
IF('1. Criteria &amp; Spec Matrix'!E190="","Show","Hide"))</f>
        <v>Show</v>
      </c>
      <c r="F1124" s="116"/>
      <c r="G1124" s="70" t="str">
        <f>CHAR(97+COUNTIF($C$1114:C1123,"Show")) &amp; "."</f>
        <v>k.</v>
      </c>
      <c r="H1124" s="117" t="s">
        <v>827</v>
      </c>
    </row>
    <row r="1125" spans="2:8" ht="30" hidden="1" outlineLevel="2">
      <c r="B1125" s="12" t="s">
        <v>814</v>
      </c>
      <c r="C1125" s="9" t="str">
        <f>IF(AND('1. Criteria &amp; Spec Matrix'!E190='3. Dropdowns'!C197,'1. Criteria &amp; Spec Matrix'!D5='3. Dropdowns'!C9,OR('1. Criteria &amp; Spec Matrix'!E186='3. Dropdowns'!C175,'1. Criteria &amp; Spec Matrix'!E186='3. Dropdowns'!C176)),"Show",
IF('1. Criteria &amp; Spec Matrix'!E190="","Show","Hide"))</f>
        <v>Show</v>
      </c>
      <c r="F1125" s="116"/>
      <c r="G1125" s="70" t="str">
        <f>CHAR(97+COUNTIF($C$1114:C1124,"Show")) &amp; "."</f>
        <v>l.</v>
      </c>
      <c r="H1125" s="117" t="s">
        <v>820</v>
      </c>
    </row>
    <row r="1126" spans="2:8" ht="60" hidden="1" outlineLevel="2">
      <c r="B1126" s="12" t="s">
        <v>815</v>
      </c>
      <c r="C1126" s="9" t="str">
        <f>IF(AND('1. Criteria &amp; Spec Matrix'!E190='3. Dropdowns'!C197,'1. Criteria &amp; Spec Matrix'!D5='3. Dropdowns'!C8,'1. Criteria &amp; Spec Matrix'!E186='3. Dropdowns'!C178),"Show",
IF('1. Criteria &amp; Spec Matrix'!E190="","Show","Hide"))</f>
        <v>Show</v>
      </c>
      <c r="F1126" s="116"/>
      <c r="G1126" s="70" t="str">
        <f>CHAR(97+COUNTIF($C$1114:C1125,"Show")) &amp; "."</f>
        <v>m.</v>
      </c>
      <c r="H1126" s="117" t="s">
        <v>871</v>
      </c>
    </row>
    <row r="1127" spans="2:8" ht="30" hidden="1" customHeight="1" outlineLevel="2">
      <c r="B1127" s="12" t="s">
        <v>2639</v>
      </c>
      <c r="C1127" s="9" t="str">
        <f>IF(AND('1. Criteria &amp; Spec Matrix'!E190='3. Dropdowns'!C197,'1. Criteria &amp; Spec Matrix'!D5='3. Dropdowns'!C8,'1. Criteria &amp; Spec Matrix'!E186='3. Dropdowns'!C179),"Show",
IF('1. Criteria &amp; Spec Matrix'!E190="","Show","Hide"))</f>
        <v>Show</v>
      </c>
      <c r="F1127" s="116"/>
      <c r="G1127" s="70" t="str">
        <f>CHAR(97+COUNTIF($C$1114:C1126,"Show")) &amp; "."</f>
        <v>n.</v>
      </c>
      <c r="H1127" s="117" t="s">
        <v>2643</v>
      </c>
    </row>
    <row r="1128" spans="2:8" ht="60" hidden="1" outlineLevel="2">
      <c r="B1128" s="12" t="s">
        <v>817</v>
      </c>
      <c r="C1128" s="9" t="str">
        <f>IF(AND('1. Criteria &amp; Spec Matrix'!E190='3. Dropdowns'!C197,'1. Criteria &amp; Spec Matrix'!D5='3. Dropdowns'!C9,'1. Criteria &amp; Spec Matrix'!E186='3. Dropdowns'!C178),"Show",
IF('1. Criteria &amp; Spec Matrix'!E190="","Show","Hide"))</f>
        <v>Show</v>
      </c>
      <c r="F1128" s="116"/>
      <c r="G1128" s="70" t="str">
        <f>CHAR(97+COUNTIF($C$1114:C1127,"Show")) &amp; "."</f>
        <v>o.</v>
      </c>
      <c r="H1128" s="117" t="s">
        <v>828</v>
      </c>
    </row>
    <row r="1129" spans="2:8" ht="32.1" hidden="1" customHeight="1" outlineLevel="2">
      <c r="B1129" s="12" t="s">
        <v>2640</v>
      </c>
      <c r="C1129" s="9" t="str">
        <f>IF(AND('1. Criteria &amp; Spec Matrix'!E190='3. Dropdowns'!C197,'1. Criteria &amp; Spec Matrix'!D5='3. Dropdowns'!C9,'1. Criteria &amp; Spec Matrix'!E186='3. Dropdowns'!C179),"Show",
IF('1. Criteria &amp; Spec Matrix'!E190="","Show","Hide"))</f>
        <v>Show</v>
      </c>
      <c r="F1129" s="116"/>
      <c r="G1129" s="70" t="str">
        <f>CHAR(97+COUNTIF($C$1114:C1128,"Show")) &amp; "."</f>
        <v>p.</v>
      </c>
      <c r="H1129" s="117" t="s">
        <v>2644</v>
      </c>
    </row>
    <row r="1130" spans="2:8" hidden="1" outlineLevel="2">
      <c r="B1130" s="12" t="s">
        <v>873</v>
      </c>
      <c r="C1130" s="9" t="str">
        <f>IF(COUNTIF(C1131:C1135,"Show")&gt;0,"Show","Hide")</f>
        <v>Show</v>
      </c>
      <c r="F1130" s="78" t="str">
        <f>(1+COUNTIF(C1100,"Show")+COUNTIF(C1103,"Show")+COUNTIF(C1113,"Show")) &amp; "."</f>
        <v>4.</v>
      </c>
      <c r="G1130" s="71" t="s">
        <v>2467</v>
      </c>
      <c r="H1130" s="117"/>
    </row>
    <row r="1131" spans="2:8" hidden="1" outlineLevel="2">
      <c r="B1131" s="12" t="s">
        <v>873</v>
      </c>
      <c r="C1131" s="9" t="str">
        <f>IF(AND('1. Criteria &amp; Spec Matrix'!D5='3. Dropdowns'!C7,'1. Criteria &amp; Spec Matrix'!F5='3. Dropdowns'!C12),"Show",IF(AND('1. Criteria &amp; Spec Matrix'!D5='3. Dropdowns'!C7,NOT('1. Criteria &amp; Spec Matrix'!F5='3. Dropdowns'!C12)),"Show",
IF(OR('1. Criteria &amp; Spec Matrix'!E193='3. Dropdowns'!C206,'1. Criteria &amp; Spec Matrix'!E193='3. Dropdowns'!C207),"Show",
IF(AND('1. Criteria &amp; Spec Matrix'!C193="Show",'1. Criteria &amp; Spec Matrix'!E193=""),"Show","Hide"))))</f>
        <v>Show</v>
      </c>
      <c r="F1131" s="116"/>
      <c r="G1131" s="70" t="s">
        <v>133</v>
      </c>
      <c r="H1131" s="117" t="s">
        <v>847</v>
      </c>
    </row>
    <row r="1132" spans="2:8" ht="30" hidden="1" outlineLevel="2">
      <c r="B1132" s="12" t="s">
        <v>874</v>
      </c>
      <c r="C1132" s="9" t="str">
        <f>IF(AND('1. Criteria &amp; Spec Matrix'!D5='3. Dropdowns'!C7,'1. Criteria &amp; Spec Matrix'!F5='3. Dropdowns'!C12),"Hide",
IF(AND('1. Criteria &amp; Spec Matrix'!C193="Show",'1. Criteria &amp; Spec Matrix'!E193='3. Dropdowns'!C205),"Hide",
IF(AND(OR('1. Criteria &amp; Spec Matrix'!D5='3. Dropdowns'!C8,'1. Criteria &amp; Spec Matrix'!D5='3. Dropdowns'!C9),'1. Criteria &amp; Spec Matrix'!E193='3. Dropdowns'!C207),"Hide",IF(AND('1. Criteria &amp; Spec Matrix'!F5='3. Dropdowns'!C12,'1. Criteria &amp; Spec Matrix'!E193='3. Dropdowns'!C208),"Hide",
IF(OR('1. Criteria &amp; Spec Matrix'!E191='3. Dropdowns'!C199,'1. Criteria &amp; Spec Matrix'!E191='3. Dropdowns'!C201,'1. Criteria &amp; Spec Matrix'!E194='3. Dropdowns'!C209,'1. Criteria &amp; Spec Matrix'!E194='3. Dropdowns'!C211),"Show",
IF(AND('1. Criteria &amp; Spec Matrix'!C191="Show",'1. Criteria &amp; Spec Matrix'!E191=""),"Show",
IF(AND('1. Criteria &amp; Spec Matrix'!C194="Show",'1. Criteria &amp; Spec Matrix'!E194=""),"Show","Hide")))))))</f>
        <v>Show</v>
      </c>
      <c r="F1132" s="116"/>
      <c r="G1132" s="70" t="str">
        <f>CHAR(97+COUNTIF($C$1131:C1131,"Show")) &amp; "."</f>
        <v>b.</v>
      </c>
      <c r="H1132" s="117" t="s">
        <v>848</v>
      </c>
    </row>
    <row r="1133" spans="2:8" ht="30" hidden="1" outlineLevel="2">
      <c r="B1133" s="12" t="s">
        <v>875</v>
      </c>
      <c r="C1133" s="9" t="str">
        <f>IF(AND('1. Criteria &amp; Spec Matrix'!D5='3. Dropdowns'!C7,'1. Criteria &amp; Spec Matrix'!F5='3. Dropdowns'!C12),"Hide",IF(AND('1. Criteria &amp; Spec Matrix'!C193="Show",'1. Criteria &amp; Spec Matrix'!E193='3. Dropdowns'!C205),"Hide",IF(AND(OR('1. Criteria &amp; Spec Matrix'!D5='3. Dropdowns'!C8,'1. Criteria &amp; Spec Matrix'!D5='3. Dropdowns'!C9),'1. Criteria &amp; Spec Matrix'!E193='3. Dropdowns'!C207),"Hide",IF(AND('1. Criteria &amp; Spec Matrix'!F5='3. Dropdowns'!C12,'1. Criteria &amp; Spec Matrix'!E193='3. Dropdowns'!C208),"Hide",IF(OR('1. Criteria &amp; Spec Matrix'!E191='3. Dropdowns'!C200,'1. Criteria &amp; Spec Matrix'!E191='3. Dropdowns'!C201,'1. Criteria &amp; Spec Matrix'!E194='3. Dropdowns'!C210,'1. Criteria &amp; Spec Matrix'!E194='3. Dropdowns'!C211),"Show",
IF(AND('1. Criteria &amp; Spec Matrix'!C191="Show",'1. Criteria &amp; Spec Matrix'!E191=""),"Show",
IF(AND('1. Criteria &amp; Spec Matrix'!C194="Show",'1. Criteria &amp; Spec Matrix'!E194=""),"Show","Hide")))))))</f>
        <v>Show</v>
      </c>
      <c r="F1133" s="116"/>
      <c r="G1133" s="70" t="str">
        <f>CHAR(97+COUNTIF($C$1131:C1132,"Show")) &amp; "."</f>
        <v>c.</v>
      </c>
      <c r="H1133" s="117" t="s">
        <v>872</v>
      </c>
    </row>
    <row r="1134" spans="2:8" hidden="1" outlineLevel="2">
      <c r="B1134" s="12" t="s">
        <v>876</v>
      </c>
      <c r="C1134" s="9" t="str">
        <f>IF(AND('1. Criteria &amp; Spec Matrix'!C193="Show",'1. Criteria &amp; Spec Matrix'!E193='3. Dropdowns'!C205),"Hide",IF(AND('1. Criteria &amp; Spec Matrix'!F5='3. Dropdowns'!C12,'1. Criteria &amp; Spec Matrix'!E193='3. Dropdowns'!C208),"Hide",
IF(AND('1. Criteria &amp; Spec Matrix'!F5='3. Dropdowns'!C12,'1. Criteria &amp; Spec Matrix'!D5='3. Dropdowns'!C7),"Show",IF(OR('1. Criteria &amp; Spec Matrix'!E191='3. Dropdowns'!C198,'1. Criteria &amp; Spec Matrix'!E191='3. Dropdowns'!C202,'1. Criteria &amp; Spec Matrix'!E193='3. Dropdowns'!C207),"Show",
IF(AND('1. Criteria &amp; Spec Matrix'!C191="Show",'1. Criteria &amp; Spec Matrix'!E191=""),"Show",
IF(AND('1. Criteria &amp; Spec Matrix'!C193="Show",'1. Criteria &amp; Spec Matrix'!E193=""),"Show","Hide"))))))</f>
        <v>Show</v>
      </c>
      <c r="F1134" s="116"/>
      <c r="G1134" s="70" t="str">
        <f>CHAR(97+COUNTIF($C$1131:C1133,"Show")) &amp; "."</f>
        <v>d.</v>
      </c>
      <c r="H1134" s="117" t="s">
        <v>849</v>
      </c>
    </row>
    <row r="1135" spans="2:8" hidden="1" outlineLevel="2">
      <c r="B1135" s="12" t="s">
        <v>3022</v>
      </c>
      <c r="C1135" s="9" t="str">
        <f>IF(AND('1. Criteria &amp; Spec Matrix'!F5='3. Dropdowns'!C12,'1. Criteria &amp; Spec Matrix'!E193='3. Dropdowns'!C208),"Show",
IF(AND(NOT('1. Criteria &amp; Spec Matrix'!D5='3. Dropdowns'!C7),OR('1. Criteria &amp; Spec Matrix'!F5='3. Dropdowns'!C12,'1. Criteria &amp; Spec Matrix'!F5=""),'1. Criteria &amp; Spec Matrix'!E193=""),"Show","Hide"))</f>
        <v>Show</v>
      </c>
      <c r="F1135" s="116"/>
      <c r="G1135" s="70" t="str">
        <f>CHAR(97+COUNTIF($C$1131:C1134,"Show")) &amp; "."</f>
        <v>e.</v>
      </c>
      <c r="H1135" s="117" t="s">
        <v>3049</v>
      </c>
    </row>
    <row r="1136" spans="2:8" hidden="1" outlineLevel="2">
      <c r="B1136" s="12" t="s">
        <v>878</v>
      </c>
      <c r="C1136" s="7" t="str">
        <f>IF(COUNTIF(C1137:C1138,"Show")&gt;0,"Show","Hide")</f>
        <v>Show</v>
      </c>
      <c r="F1136" s="78" t="str">
        <f>(1+COUNTIF(C1100,"Show")+COUNTIF(C1103,"Show")+COUNTIF(C1113,"Show")+COUNTIF(C1130,"Show")) &amp; "."</f>
        <v>5.</v>
      </c>
      <c r="G1136" s="71" t="s">
        <v>2471</v>
      </c>
      <c r="H1136" s="117"/>
    </row>
    <row r="1137" spans="2:8" ht="30" hidden="1" outlineLevel="2">
      <c r="B1137" s="12" t="s">
        <v>880</v>
      </c>
      <c r="C1137" s="9" t="str">
        <f>IF(OR('1. Criteria &amp; Spec Matrix'!E196='3. Dropdowns'!C215,'1. Criteria &amp; Spec Matrix'!E196=""),"Show","Hide")</f>
        <v>Show</v>
      </c>
      <c r="F1137" s="116"/>
      <c r="G1137" s="70" t="s">
        <v>133</v>
      </c>
      <c r="H1137" s="117" t="s">
        <v>2949</v>
      </c>
    </row>
    <row r="1138" spans="2:8" ht="45" hidden="1" outlineLevel="2">
      <c r="B1138" s="12" t="s">
        <v>892</v>
      </c>
      <c r="C1138" s="9" t="str">
        <f>IF(OR('1. Criteria &amp; Spec Matrix'!E196='3. Dropdowns'!C216,'1. Criteria &amp; Spec Matrix'!E196=""),"Show","Hide")</f>
        <v>Show</v>
      </c>
      <c r="F1138" s="116"/>
      <c r="G1138" s="70" t="str">
        <f>CHAR(97+COUNTIF($C$1137:C1137,"Show")) &amp; "."</f>
        <v>b.</v>
      </c>
      <c r="H1138" s="117" t="s">
        <v>893</v>
      </c>
    </row>
    <row r="1139" spans="2:8" hidden="1" outlineLevel="2">
      <c r="B1139" s="12" t="s">
        <v>906</v>
      </c>
      <c r="C1139" s="7" t="str">
        <f>IF(COUNTIF(C1140:C1142,"Show")&gt;0,"Show","Hide")</f>
        <v>Show</v>
      </c>
      <c r="F1139" s="78" t="str">
        <f>(1+COUNTIF(C1100,"Show")+COUNTIF(C1103,"Show")+COUNTIF(C1113,"Show")+COUNTIF(C1130,"Show")+COUNTIF(C1136,"Show")) &amp; "."</f>
        <v>6.</v>
      </c>
      <c r="G1139" s="71" t="s">
        <v>905</v>
      </c>
      <c r="H1139" s="117"/>
    </row>
    <row r="1140" spans="2:8" ht="30" hidden="1" outlineLevel="2">
      <c r="B1140" s="12" t="s">
        <v>907</v>
      </c>
      <c r="C1140" s="9" t="str">
        <f>IF(OR('1. Criteria &amp; Spec Matrix'!E197='3. Dropdowns'!C218,'1. Criteria &amp; Spec Matrix'!E197=""),"Show","Hide")</f>
        <v>Show</v>
      </c>
      <c r="F1140" s="116"/>
      <c r="G1140" s="70" t="s">
        <v>133</v>
      </c>
      <c r="H1140" s="117" t="s">
        <v>911</v>
      </c>
    </row>
    <row r="1141" spans="2:8" hidden="1" outlineLevel="2">
      <c r="B1141" s="12" t="s">
        <v>909</v>
      </c>
      <c r="C1141" s="9" t="str">
        <f>IF(OR('1. Criteria &amp; Spec Matrix'!E197='3. Dropdowns'!C219,'1. Criteria &amp; Spec Matrix'!E197=""),"Show","Hide")</f>
        <v>Show</v>
      </c>
      <c r="F1141" s="116"/>
      <c r="G1141" s="70" t="str">
        <f>CHAR(97+COUNTIF($C$1140:C1140,"Show")) &amp; "."</f>
        <v>b.</v>
      </c>
      <c r="H1141" s="117" t="s">
        <v>913</v>
      </c>
    </row>
    <row r="1142" spans="2:8" ht="30" hidden="1" outlineLevel="2">
      <c r="B1142" s="12" t="s">
        <v>2470</v>
      </c>
      <c r="C1142" s="9" t="str">
        <f>IF(OR('1. Criteria &amp; Spec Matrix'!E197='3. Dropdowns'!C219,'1. Criteria &amp; Spec Matrix'!E197='3. Dropdowns'!C218,'1. Criteria &amp; Spec Matrix'!E197=""),"Show","Hide")</f>
        <v>Show</v>
      </c>
      <c r="F1142" s="116"/>
      <c r="G1142" s="70" t="str">
        <f>CHAR(97+COUNTIF($C$1140:C1141,"Show")) &amp; "."</f>
        <v>c.</v>
      </c>
      <c r="H1142" s="117" t="s">
        <v>912</v>
      </c>
    </row>
    <row r="1143" spans="2:8" hidden="1" outlineLevel="2">
      <c r="B1143" s="12" t="s">
        <v>928</v>
      </c>
      <c r="C1143" s="9" t="str">
        <f>C1144</f>
        <v>Show</v>
      </c>
      <c r="F1143" s="78" t="str">
        <f>(1+COUNTIF(C1100,"Show")+COUNTIF(C1103,"Show")+COUNTIF(C1113,"Show")+COUNTIF(C1130,"Show")+COUNTIF(C1136,"Show")+COUNTIF(C1139,"Show")) &amp; "."</f>
        <v>7.</v>
      </c>
      <c r="G1143" s="71" t="s">
        <v>918</v>
      </c>
      <c r="H1143" s="117"/>
    </row>
    <row r="1144" spans="2:8" ht="15" hidden="1" customHeight="1" outlineLevel="2">
      <c r="B1144" s="12" t="s">
        <v>928</v>
      </c>
      <c r="C1144" s="9" t="str">
        <f>IF(OR('1. Criteria &amp; Spec Matrix'!E198='3. Dropdowns'!C223,'1. Criteria &amp; Spec Matrix'!E198=""),"Show","Hide")</f>
        <v>Show</v>
      </c>
      <c r="F1144" s="116"/>
      <c r="G1144" s="70" t="s">
        <v>133</v>
      </c>
      <c r="H1144" s="117" t="s">
        <v>932</v>
      </c>
    </row>
    <row r="1145" spans="2:8" hidden="1" outlineLevel="2">
      <c r="B1145" s="12" t="s">
        <v>2485</v>
      </c>
      <c r="C1145" s="9" t="str">
        <f>C1146</f>
        <v>Show</v>
      </c>
      <c r="F1145" s="78" t="str">
        <f>(1+COUNTIF(C1100,"Show")+COUNTIF(C1103,"Show")+COUNTIF(C1113,"Show")+COUNTIF(C1130,"Show")+COUNTIF(C1136,"Show")+COUNTIF(C1139,"Show")+COUNTIF(C1143,"Show")) &amp; "."</f>
        <v>8.</v>
      </c>
      <c r="G1145" s="71" t="s">
        <v>934</v>
      </c>
    </row>
    <row r="1146" spans="2:8" ht="30" hidden="1" outlineLevel="2">
      <c r="B1146" s="12" t="s">
        <v>2485</v>
      </c>
      <c r="C1146" s="9" t="str">
        <f>IF('1. Criteria &amp; Spec Matrix'!E202='3. Dropdowns'!C237,"Show",IF(AND('1. Criteria &amp; Spec Matrix'!C202="Show",'1. Criteria &amp; Spec Matrix'!E202=""),"Show","Hide"))</f>
        <v>Show</v>
      </c>
      <c r="F1146" s="78"/>
      <c r="G1146" s="70" t="s">
        <v>133</v>
      </c>
      <c r="H1146" s="28" t="s">
        <v>959</v>
      </c>
    </row>
    <row r="1147" spans="2:8" hidden="1" outlineLevel="2">
      <c r="B1147" s="12" t="s">
        <v>966</v>
      </c>
      <c r="C1147" s="7" t="str">
        <f>IF(COUNTIF(C1148:C1149,"Show")&gt;0,"Show","Hide")</f>
        <v>Show</v>
      </c>
      <c r="F1147" s="78" t="str">
        <f>(1+COUNTIF(C1100,"Show")+COUNTIF(C1103,"Show")+COUNTIF(C1113,"Show")+COUNTIF(C1130,"Show")+COUNTIF(C1136,"Show")+COUNTIF(C1139,"Show")+COUNTIF(C1143,"Show")+COUNTIF(C1145,"Show")) &amp; "."</f>
        <v>9.</v>
      </c>
      <c r="G1147" s="71" t="s">
        <v>965</v>
      </c>
    </row>
    <row r="1148" spans="2:8" ht="30" hidden="1" outlineLevel="2">
      <c r="B1148" s="12" t="s">
        <v>968</v>
      </c>
      <c r="C1148" s="9" t="str">
        <f>IF(OR('1. Criteria &amp; Spec Matrix'!E203='3. Dropdowns'!C245,'1. Criteria &amp; Spec Matrix'!E203=""),"Show","Hide")</f>
        <v>Show</v>
      </c>
      <c r="F1148" s="124"/>
      <c r="G1148" s="70" t="s">
        <v>133</v>
      </c>
      <c r="H1148" s="75" t="s">
        <v>969</v>
      </c>
    </row>
    <row r="1149" spans="2:8" ht="30" hidden="1" outlineLevel="2">
      <c r="B1149" s="12" t="s">
        <v>967</v>
      </c>
      <c r="C1149" s="9" t="str">
        <f>IF(OR('1. Criteria &amp; Spec Matrix'!E203='3. Dropdowns'!C246,'1. Criteria &amp; Spec Matrix'!E203=""),"Show","Hide")</f>
        <v>Show</v>
      </c>
      <c r="F1149" s="124"/>
      <c r="G1149" s="70" t="str">
        <f>CHAR(97+COUNTIF($C$1148:C1148,"Show")) &amp; "."</f>
        <v>b.</v>
      </c>
      <c r="H1149" s="75" t="s">
        <v>970</v>
      </c>
    </row>
    <row r="1150" spans="2:8" hidden="1" outlineLevel="2">
      <c r="B1150" s="12"/>
      <c r="C1150" s="73" t="s">
        <v>1010</v>
      </c>
      <c r="E1150" s="70" t="s">
        <v>159</v>
      </c>
      <c r="F1150" s="110" t="s">
        <v>987</v>
      </c>
      <c r="G1150" s="70"/>
    </row>
    <row r="1151" spans="2:8" hidden="1" outlineLevel="2">
      <c r="B1151" s="12" t="s">
        <v>989</v>
      </c>
      <c r="C1151" s="9" t="str">
        <f>IF('1. Criteria &amp; Spec Matrix'!E205='3. Dropdowns'!C248,"Hide","Show")</f>
        <v>Show</v>
      </c>
      <c r="F1151" s="78" t="s">
        <v>121</v>
      </c>
      <c r="G1151" s="71" t="s">
        <v>988</v>
      </c>
      <c r="H1151" s="28"/>
    </row>
    <row r="1152" spans="2:8" ht="30" hidden="1" outlineLevel="2">
      <c r="B1152" s="12" t="s">
        <v>989</v>
      </c>
      <c r="C1152" s="9" t="str">
        <f>C1151</f>
        <v>Show</v>
      </c>
      <c r="F1152" s="78"/>
      <c r="G1152" s="70" t="s">
        <v>133</v>
      </c>
      <c r="H1152" s="28" t="s">
        <v>2006</v>
      </c>
    </row>
    <row r="1153" spans="2:8" hidden="1" outlineLevel="2">
      <c r="B1153" s="12" t="s">
        <v>1009</v>
      </c>
      <c r="C1153" s="7" t="str">
        <f>IF(COUNTIF(C1154:C1158,"Show")&gt;0,"Show","Hide")</f>
        <v>Show</v>
      </c>
      <c r="F1153" s="70" t="str">
        <f>(1+COUNTIF(C1151,"Show")) &amp; "."</f>
        <v>2.</v>
      </c>
      <c r="G1153" s="71" t="s">
        <v>2555</v>
      </c>
      <c r="H1153" s="28"/>
    </row>
    <row r="1154" spans="2:8" ht="30" hidden="1" outlineLevel="2">
      <c r="B1154" s="12" t="s">
        <v>1011</v>
      </c>
      <c r="C1154" s="9" t="str">
        <f>IF('1. Criteria &amp; Spec Matrix'!E211='3. Dropdowns'!C252,"Hide","Show")</f>
        <v>Show</v>
      </c>
      <c r="F1154" s="78"/>
      <c r="G1154" s="70" t="s">
        <v>133</v>
      </c>
      <c r="H1154" s="28" t="s">
        <v>1014</v>
      </c>
    </row>
    <row r="1155" spans="2:8" hidden="1" outlineLevel="2">
      <c r="B1155" s="12" t="s">
        <v>1012</v>
      </c>
      <c r="C1155" s="9" t="str">
        <f>IF(OR('1. Criteria &amp; Spec Matrix'!E212='3. Dropdowns'!C250,'1. Criteria &amp; Spec Matrix'!E212='3. Dropdowns'!C251,'1. Criteria &amp; Spec Matrix'!E212=""),"Show","Hide")</f>
        <v>Show</v>
      </c>
      <c r="F1155" s="78"/>
      <c r="G1155" s="70" t="str">
        <f>CHAR(97+COUNTIF($C$1154:C1154,"Show")) &amp; "."</f>
        <v>b.</v>
      </c>
      <c r="H1155" s="28" t="s">
        <v>1026</v>
      </c>
    </row>
    <row r="1156" spans="2:8" hidden="1" outlineLevel="2">
      <c r="B1156" s="12" t="s">
        <v>1025</v>
      </c>
      <c r="C1156" s="9" t="str">
        <f>C1155</f>
        <v>Show</v>
      </c>
      <c r="F1156" s="125"/>
      <c r="G1156" s="70"/>
      <c r="H1156" s="75" t="str">
        <f>IF('1. Criteria &amp; Spec Matrix'!E213="","Contractor may select product type.",'1. Criteria &amp; Spec Matrix'!E213)</f>
        <v>Contractor may select product type.</v>
      </c>
    </row>
    <row r="1157" spans="2:8" ht="30" hidden="1" outlineLevel="2">
      <c r="B1157" s="12" t="s">
        <v>1003</v>
      </c>
      <c r="C1157" s="9" t="str">
        <f>IF(OR('1. Criteria &amp; Spec Matrix'!E218='3. Dropdowns'!C250,'1. Criteria &amp; Spec Matrix'!E218='3. Dropdowns'!C251,'1. Criteria &amp; Spec Matrix'!E218=""),"Show","Hide")</f>
        <v>Show</v>
      </c>
      <c r="F1157" s="126"/>
      <c r="G1157" s="70" t="str">
        <f>IF(C1156="Show",(CHAR(96+COUNTIF($C$1154:C1156,"Show")) &amp; "."),CHAR(97+COUNTIF($C$1154:C1156,"Show")) &amp; ".")</f>
        <v>c.</v>
      </c>
      <c r="H1157" s="117" t="s">
        <v>1037</v>
      </c>
    </row>
    <row r="1158" spans="2:8" hidden="1" outlineLevel="2">
      <c r="B1158" s="12" t="s">
        <v>1013</v>
      </c>
      <c r="C1158" s="9" t="str">
        <f>IF(OR('1. Criteria &amp; Spec Matrix'!E220='3. Dropdowns'!C250,'1. Criteria &amp; Spec Matrix'!E220='3. Dropdowns'!C251,'1. Criteria &amp; Spec Matrix'!E220=""),"Show","Hide")</f>
        <v>Show</v>
      </c>
      <c r="F1158" s="78"/>
      <c r="G1158" s="70" t="str">
        <f>IF(C1157="Show",(CHAR(96+COUNTIF($C$1154:C1157,"Show")) &amp; "."),CHAR(97+COUNTIF($C$1154:C1157,"Show")) &amp; ".")</f>
        <v>d.</v>
      </c>
      <c r="H1158" s="28" t="s">
        <v>1027</v>
      </c>
    </row>
    <row r="1159" spans="2:8" hidden="1" outlineLevel="2">
      <c r="B1159" s="76"/>
      <c r="C1159" s="7" t="s">
        <v>116</v>
      </c>
      <c r="F1159" s="78" t="str">
        <f>(1+COUNTIF(C1151,"Show")+COUNTIF(C1153,"Show")) &amp; "."</f>
        <v>3.</v>
      </c>
      <c r="G1159" s="71" t="s">
        <v>1051</v>
      </c>
      <c r="H1159" s="117"/>
    </row>
    <row r="1160" spans="2:8" ht="30" hidden="1" outlineLevel="2">
      <c r="B1160" s="76"/>
      <c r="C1160" s="7" t="s">
        <v>116</v>
      </c>
      <c r="F1160" s="116"/>
      <c r="G1160" s="70" t="s">
        <v>133</v>
      </c>
      <c r="H1160" s="117" t="s">
        <v>1110</v>
      </c>
    </row>
    <row r="1161" spans="2:8" hidden="1" outlineLevel="2">
      <c r="B1161" s="76"/>
      <c r="C1161" s="7" t="s">
        <v>116</v>
      </c>
      <c r="F1161" s="116"/>
      <c r="G1161" s="70"/>
      <c r="H1161" s="127" t="s">
        <v>1160</v>
      </c>
    </row>
    <row r="1162" spans="2:8" ht="195.95" hidden="1" customHeight="1" outlineLevel="2">
      <c r="B1162" s="76"/>
      <c r="C1162" s="7" t="s">
        <v>116</v>
      </c>
      <c r="F1162" s="116"/>
      <c r="G1162" s="70"/>
      <c r="H1162" s="128" t="s">
        <v>1161</v>
      </c>
    </row>
    <row r="1163" spans="2:8" ht="30" hidden="1" outlineLevel="2">
      <c r="B1163" s="76"/>
      <c r="C1163" s="7" t="s">
        <v>116</v>
      </c>
      <c r="F1163" s="116"/>
      <c r="G1163" s="70" t="s">
        <v>134</v>
      </c>
      <c r="H1163" s="117" t="s">
        <v>1111</v>
      </c>
    </row>
    <row r="1164" spans="2:8" ht="60" hidden="1" outlineLevel="2">
      <c r="B1164" s="12" t="s">
        <v>1084</v>
      </c>
      <c r="C1164" s="9" t="str">
        <f>IF(OR('1. Criteria &amp; Spec Matrix'!E224='3. Dropdowns'!C267,'1. Criteria &amp; Spec Matrix'!E224=""),"Show","Hide")</f>
        <v>Show</v>
      </c>
      <c r="F1164" s="116"/>
      <c r="G1164" s="70" t="str">
        <f>CHAR(99+COUNTIF($C$1160:C1163,"Show")) &amp; "."</f>
        <v>c.</v>
      </c>
      <c r="H1164" s="117" t="s">
        <v>1116</v>
      </c>
    </row>
    <row r="1165" spans="2:8" hidden="1" outlineLevel="2">
      <c r="B1165" s="12" t="s">
        <v>1086</v>
      </c>
      <c r="C1165" s="9" t="str">
        <f>IF(OR('1. Criteria &amp; Spec Matrix'!E225="",'1. Criteria &amp; Spec Matrix'!E225='3. Dropdowns'!C269,),"Show","Hide")</f>
        <v>Show</v>
      </c>
      <c r="F1165" s="116"/>
      <c r="G1165" s="70" t="str">
        <f>CHAR(99+COUNTIF($C$1160:C1164,"Show")) &amp; "."</f>
        <v>d.</v>
      </c>
      <c r="H1165" s="117" t="s">
        <v>1112</v>
      </c>
    </row>
    <row r="1166" spans="2:8" hidden="1" outlineLevel="2">
      <c r="B1166" s="12" t="s">
        <v>1087</v>
      </c>
      <c r="C1166" s="9" t="str">
        <f>IF(OR('1. Criteria &amp; Spec Matrix'!E225="",'1. Criteria &amp; Spec Matrix'!E225='3. Dropdowns'!C270,),"Show","Hide")</f>
        <v>Show</v>
      </c>
      <c r="F1166" s="116"/>
      <c r="G1166" s="70" t="str">
        <f>CHAR(99+COUNTIF($C$1160:C1165,"Show")) &amp; "."</f>
        <v>e.</v>
      </c>
      <c r="H1166" s="117" t="s">
        <v>1114</v>
      </c>
    </row>
    <row r="1167" spans="2:8" ht="60" hidden="1" outlineLevel="2">
      <c r="B1167" s="12" t="s">
        <v>1113</v>
      </c>
      <c r="C1167" s="9" t="str">
        <f>IF(OR('1. Criteria &amp; Spec Matrix'!E225="",'1. Criteria &amp; Spec Matrix'!E225='3. Dropdowns'!C269,'1. Criteria &amp; Spec Matrix'!E225='3. Dropdowns'!C270),"Show","Hide")</f>
        <v>Show</v>
      </c>
      <c r="F1167" s="116"/>
      <c r="G1167" s="70"/>
      <c r="H1167" s="117" t="s">
        <v>1115</v>
      </c>
    </row>
    <row r="1168" spans="2:8" ht="75" hidden="1" outlineLevel="2">
      <c r="B1168" s="12" t="s">
        <v>1090</v>
      </c>
      <c r="C1168" s="9" t="str">
        <f>IF(OR('1. Criteria &amp; Spec Matrix'!E226='3. Dropdowns'!C271,'1. Criteria &amp; Spec Matrix'!E226=""),"Show","Hide")</f>
        <v>Show</v>
      </c>
      <c r="F1168" s="116"/>
      <c r="G1168" s="70" t="str">
        <f>IF(C1167="Show",CHAR(98+COUNTIF($C$1160:C1167,"Show")) &amp; ".",CHAR(99+COUNTIF($C$1160:C1167,"Show")) &amp; ".")</f>
        <v>f.</v>
      </c>
      <c r="H1168" s="117" t="s">
        <v>1117</v>
      </c>
    </row>
    <row r="1169" spans="2:8" ht="45" hidden="1" outlineLevel="2">
      <c r="B1169" s="12" t="s">
        <v>1092</v>
      </c>
      <c r="C1169" s="9" t="str">
        <f>IF('1. Criteria &amp; Spec Matrix'!E226='3. Dropdowns'!C271,"Hide","Show")</f>
        <v>Show</v>
      </c>
      <c r="F1169" s="116"/>
      <c r="G1169" s="70" t="str">
        <f>IF(C1167="Show",CHAR(98+COUNTIF($C$1160:C1168,"Show")) &amp; ".",CHAR(99+COUNTIF($C$1160:C1168,"Show")) &amp; ".")</f>
        <v>g.</v>
      </c>
      <c r="H1169" s="117" t="s">
        <v>1118</v>
      </c>
    </row>
    <row r="1170" spans="2:8" ht="30" hidden="1" outlineLevel="2">
      <c r="B1170" s="12" t="s">
        <v>1093</v>
      </c>
      <c r="C1170" s="9" t="str">
        <f>IF(OR('1. Criteria &amp; Spec Matrix'!E226='3. Dropdowns'!C273,'1. Criteria &amp; Spec Matrix'!E226='3. Dropdowns'!C276,'1. Criteria &amp; Spec Matrix'!E226='3. Dropdowns'!C277,'1. Criteria &amp; Spec Matrix'!E226='3. Dropdowns'!C279,'1. Criteria &amp; Spec Matrix'!E226=""),"Show","Hide")</f>
        <v>Show</v>
      </c>
      <c r="F1170" s="116"/>
      <c r="G1170" s="70" t="str">
        <f>IF(C1167="Show",CHAR(98+COUNTIF($C$1160:C1169,"Show")) &amp; ".",CHAR(99+COUNTIF($C$1160:C1169,"Show")) &amp; ".")</f>
        <v>h.</v>
      </c>
      <c r="H1170" s="117" t="s">
        <v>1119</v>
      </c>
    </row>
    <row r="1171" spans="2:8" ht="30" hidden="1" outlineLevel="2">
      <c r="B1171" s="12" t="s">
        <v>1093</v>
      </c>
      <c r="C1171" s="9" t="str">
        <f>C1170</f>
        <v>Show</v>
      </c>
      <c r="F1171" s="116"/>
      <c r="G1171" s="70" t="str">
        <f>IF(C1167="Show",CHAR(98+COUNTIF($C$1160:C1170,"Show")) &amp; ".",CHAR(99+COUNTIF($C$1160:C1170,"Show")) &amp; ".")</f>
        <v>i.</v>
      </c>
      <c r="H1171" s="117" t="s">
        <v>1120</v>
      </c>
    </row>
    <row r="1172" spans="2:8" ht="30" hidden="1" outlineLevel="2">
      <c r="B1172" s="12" t="s">
        <v>1122</v>
      </c>
      <c r="C1172" s="9" t="str">
        <f>IF(OR('1. Criteria &amp; Spec Matrix'!E227='3. Dropdowns'!C281,'1. Criteria &amp; Spec Matrix'!E227=""),"Show","Hide")</f>
        <v>Show</v>
      </c>
      <c r="F1172" s="116"/>
      <c r="G1172" s="70" t="str">
        <f>IF(C1167="Show",CHAR(98+COUNTIF($C$1160:C1171,"Show")) &amp; ".",CHAR(99+COUNTIF($C$1160:C1171,"Show")) &amp; ".")</f>
        <v>j.</v>
      </c>
      <c r="H1172" s="117" t="s">
        <v>1121</v>
      </c>
    </row>
    <row r="1173" spans="2:8" hidden="1" outlineLevel="2">
      <c r="B1173" s="76"/>
      <c r="C1173" s="7" t="s">
        <v>116</v>
      </c>
      <c r="F1173" s="116"/>
      <c r="G1173" s="70" t="str">
        <f>IF(C1167="Show",CHAR(98+COUNTIF($C$1160:C1172,"Show")) &amp; ".",CHAR(99+COUNTIF($C$1160:C1172,"Show")) &amp; ".")</f>
        <v>k.</v>
      </c>
      <c r="H1173" s="117" t="s">
        <v>1123</v>
      </c>
    </row>
    <row r="1174" spans="2:8" ht="30" hidden="1" outlineLevel="2">
      <c r="B1174" s="76" t="s">
        <v>1124</v>
      </c>
      <c r="C1174" s="9" t="str">
        <f>IF('1. Criteria &amp; Spec Matrix'!E228='3. Dropdowns'!C285,"Hide","Show")</f>
        <v>Show</v>
      </c>
      <c r="F1174" s="116"/>
      <c r="G1174" s="70" t="str">
        <f>IF(C1167="Show",CHAR(99+COUNTIF($C$1160:C1173,"Show")) &amp; ".",CHAR(100+COUNTIF($C$1160:C1173,"Show")) &amp; ".")</f>
        <v>l.</v>
      </c>
      <c r="H1174" s="117" t="s">
        <v>1125</v>
      </c>
    </row>
    <row r="1175" spans="2:8" ht="45" hidden="1" outlineLevel="2">
      <c r="B1175" s="76" t="s">
        <v>1126</v>
      </c>
      <c r="C1175" s="9" t="str">
        <f>IF(OR('1. Criteria &amp; Spec Matrix'!E228="",'1. Criteria &amp; Spec Matrix'!D228='3. Dropdowns'!C282,'1. Criteria &amp; Spec Matrix'!D228='3. Dropdowns'!C283,'1. Criteria &amp; Spec Matrix'!D228='3. Dropdowns'!C284),"Show","Hide")</f>
        <v>Show</v>
      </c>
      <c r="F1175" s="116"/>
      <c r="G1175" s="70" t="str">
        <f>IF(C1167="Show",CHAR(99+COUNTIF($C$1160:C1174,"Show")) &amp; ".",CHAR(100+COUNTIF($C$1160:C1174,"Show")) &amp; ".")</f>
        <v>m.</v>
      </c>
      <c r="H1175" s="117" t="s">
        <v>1127</v>
      </c>
    </row>
    <row r="1176" spans="2:8" ht="60" hidden="1" outlineLevel="2">
      <c r="B1176" s="76" t="s">
        <v>1128</v>
      </c>
      <c r="C1176" s="9" t="str">
        <f>IF(OR('1. Criteria &amp; Spec Matrix'!E228="",'1. Criteria &amp; Spec Matrix'!D228='3. Dropdowns'!C285),"Show","Hide")</f>
        <v>Show</v>
      </c>
      <c r="F1176" s="116"/>
      <c r="G1176" s="70" t="str">
        <f>IF(C1167="Show",CHAR(99+COUNTIF($C$1160:C1175,"Show")) &amp; ".",CHAR(100+COUNTIF($C$1160:C1175,"Show")) &amp; ".")</f>
        <v>n.</v>
      </c>
      <c r="H1176" s="117" t="s">
        <v>1129</v>
      </c>
    </row>
    <row r="1177" spans="2:8" ht="30" hidden="1" outlineLevel="2">
      <c r="B1177" s="76" t="s">
        <v>1130</v>
      </c>
      <c r="C1177" s="9" t="str">
        <f>IF(OR('1. Criteria &amp; Spec Matrix'!E229="",'1. Criteria &amp; Spec Matrix'!E229='3. Dropdowns'!C287),"Show","Hide")</f>
        <v>Show</v>
      </c>
      <c r="F1177" s="116"/>
      <c r="G1177" s="70" t="str">
        <f>IF(C1167="Show",CHAR(99+COUNTIF($C$1160:C1176,"Show")) &amp; ".",CHAR(100+COUNTIF($C$1160:C1176,"Show")) &amp; ".")</f>
        <v>o.</v>
      </c>
      <c r="H1177" s="117" t="s">
        <v>2619</v>
      </c>
    </row>
    <row r="1178" spans="2:8" ht="60" hidden="1" outlineLevel="2">
      <c r="B1178" s="76" t="s">
        <v>1130</v>
      </c>
      <c r="C1178" s="9" t="str">
        <f>C1177</f>
        <v>Show</v>
      </c>
      <c r="F1178" s="116"/>
      <c r="G1178" s="70"/>
      <c r="H1178" s="128" t="s">
        <v>2620</v>
      </c>
    </row>
    <row r="1179" spans="2:8" ht="30" hidden="1" outlineLevel="2">
      <c r="B1179" s="77" t="s">
        <v>1131</v>
      </c>
      <c r="C1179" s="9" t="str">
        <f>IF(OR('1. Criteria &amp; Spec Matrix'!E229="",'1. Criteria &amp; Spec Matrix'!E229='3. Dropdowns'!C288),"Show","Hide")</f>
        <v>Show</v>
      </c>
      <c r="F1179" s="116"/>
      <c r="G1179" s="70" t="str">
        <f>IF(AND(C1167="Show",C1178="Show"),CHAR(98+COUNTIF($C$1160:C1178,"Show"))&amp;".",IF(OR(C1167="Show",C1178="Show"),CHAR(99+COUNTIF($C$1160:C1178,"Show")) &amp; ".",CHAR(100+COUNTIF($C$1160:C1178,"Show")) &amp; "."))</f>
        <v>p.</v>
      </c>
      <c r="H1179" s="117" t="s">
        <v>2621</v>
      </c>
    </row>
    <row r="1180" spans="2:8" ht="30" hidden="1" outlineLevel="2">
      <c r="B1180" s="77" t="s">
        <v>1132</v>
      </c>
      <c r="C1180" s="9" t="str">
        <f>IF(OR('1. Criteria &amp; Spec Matrix'!E229="",'1. Criteria &amp; Spec Matrix'!E229='3. Dropdowns'!C288,'1. Criteria &amp; Spec Matrix'!E229='3. Dropdowns'!C289),"Show","Hide")</f>
        <v>Show</v>
      </c>
      <c r="F1180" s="116"/>
      <c r="G1180" s="70" t="str">
        <f>IF(AND(C1167="Show",C1178="Show"),CHAR(98+COUNTIF($C$1160:C1179,"Show"))&amp;".",IF(OR(C1167="Show",C1178="Show"),CHAR(99+COUNTIF($C$1160:C1179,"Show")) &amp; ".",CHAR(100+COUNTIF($C$1160:C1179,"Show")) &amp; "."))</f>
        <v>q.</v>
      </c>
      <c r="H1180" s="117" t="s">
        <v>2618</v>
      </c>
    </row>
    <row r="1181" spans="2:8" hidden="1" outlineLevel="2">
      <c r="B1181" s="77" t="s">
        <v>1132</v>
      </c>
      <c r="C1181" s="9" t="str">
        <f>C1180</f>
        <v>Show</v>
      </c>
      <c r="F1181" s="116"/>
      <c r="G1181" s="70"/>
      <c r="H1181" s="127" t="s">
        <v>1160</v>
      </c>
    </row>
    <row r="1182" spans="2:8" ht="90" hidden="1" customHeight="1" outlineLevel="2">
      <c r="B1182" s="77" t="s">
        <v>1132</v>
      </c>
      <c r="C1182" s="9" t="str">
        <f>C1181</f>
        <v>Show</v>
      </c>
      <c r="F1182" s="116"/>
      <c r="G1182" s="70"/>
      <c r="H1182" s="129" t="s">
        <v>1162</v>
      </c>
    </row>
    <row r="1183" spans="2:8" ht="30" hidden="1" outlineLevel="2">
      <c r="B1183" s="77" t="s">
        <v>1132</v>
      </c>
      <c r="C1183" s="9" t="str">
        <f>C1181</f>
        <v>Show</v>
      </c>
      <c r="F1183" s="116"/>
      <c r="G1183" s="70" t="str">
        <f>IF((COUNTIF(C1181,"Show")+COUNTIF(C1167,"Show")+COUNTIF(C1178,"Show"))=3,CHAR(96+COUNTIF($C$1160:C1182,"Show"))&amp;".",
IF((COUNTIF(C1181,"Show")+COUNTIF(C1167,"Show")+COUNTIF(C1178,"Show"))=2,CHAR(97+COUNTIF($C$1160:C1182,"Show"))&amp;".",
IF((COUNTIF(C1181,"Show")+COUNTIF(C1167,"Show")+COUNTIF(C1178,"Show"))=1,CHAR(98+COUNTIF($C$1160:C1182,"Show"))&amp;".",
CHAR(99+COUNTIF($C$1160:C1182,"Show")) &amp; ".")))</f>
        <v>r.</v>
      </c>
      <c r="H1183" s="117" t="s">
        <v>1133</v>
      </c>
    </row>
    <row r="1184" spans="2:8" ht="30" hidden="1" outlineLevel="2">
      <c r="B1184" s="12" t="s">
        <v>1137</v>
      </c>
      <c r="C1184" s="9" t="str">
        <f>IF(OR('1. Criteria &amp; Spec Matrix'!E230='3. Dropdowns'!C291,'1. Criteria &amp; Spec Matrix'!E230=""),"Show","Hide")</f>
        <v>Show</v>
      </c>
      <c r="F1184" s="116"/>
      <c r="G1184" s="70" t="str">
        <f>IF((COUNTIF(C1181,"Show")+COUNTIF(C1167,"Show")+COUNTIF(C1178,"Show"))=3,CHAR(96+COUNTIF($C$1160:C1183,"Show"))&amp;".",
IF((COUNTIF(C1181,"Show")+COUNTIF(C1167,"Show")+COUNTIF(C1178,"Show"))=2,CHAR(97+COUNTIF($C$1160:C1183,"Show"))&amp;".",
IF((COUNTIF(C1181,"Show")+COUNTIF(C1167,"Show")+COUNTIF(C1178,"Show"))=1,CHAR(98+COUNTIF($C$1160:C1183,"Show"))&amp;".",
CHAR(99+COUNTIF($C$1160:C1183,"Show")) &amp; ".")))</f>
        <v>s.</v>
      </c>
      <c r="H1184" s="117" t="s">
        <v>1139</v>
      </c>
    </row>
    <row r="1185" spans="2:8" hidden="1" outlineLevel="2">
      <c r="B1185" s="12" t="s">
        <v>1138</v>
      </c>
      <c r="C1185" s="9" t="str">
        <f>IF(OR('1. Criteria &amp; Spec Matrix'!E230='3. Dropdowns'!C292,'1. Criteria &amp; Spec Matrix'!E230=""),"Show","Hide")</f>
        <v>Show</v>
      </c>
      <c r="F1185" s="116"/>
      <c r="G1185" s="70" t="str">
        <f>IF((COUNTIF(C1181,"Show")+COUNTIF(C1167,"Show")+COUNTIF(C1178,"Show"))=3,CHAR(96+COUNTIF($C$1160:C1184,"Show"))&amp;".",
IF((COUNTIF(C1181,"Show")+COUNTIF(C1167,"Show")+COUNTIF(C1178,"Show"))=2,CHAR(97+COUNTIF($C$1160:C1184,"Show"))&amp;".",
IF((COUNTIF(C1181,"Show")+COUNTIF(C1167,"Show")+COUNTIF(C1178,"Show"))=1,CHAR(98+COUNTIF($C$1160:C1184,"Show"))&amp;".",
CHAR(99+COUNTIF($C$1160:C1184,"Show")) &amp; ".")))</f>
        <v>t.</v>
      </c>
      <c r="H1185" s="117" t="s">
        <v>1140</v>
      </c>
    </row>
    <row r="1186" spans="2:8" ht="30" hidden="1" outlineLevel="2">
      <c r="B1186" s="11" t="s">
        <v>1141</v>
      </c>
      <c r="C1186" s="9" t="str">
        <f>IF(OR('1. Criteria &amp; Spec Matrix'!E230='3. Dropdowns'!C293,'1. Criteria &amp; Spec Matrix'!E230=""),"Show","Hide")</f>
        <v>Show</v>
      </c>
      <c r="F1186" s="116"/>
      <c r="G1186" s="70" t="str">
        <f>IF((COUNTIF(C1181,"Show")+COUNTIF(C1167,"Show")+COUNTIF(C1178,"Show"))=3,CHAR(96+COUNTIF($C$1160:C1185,"Show"))&amp;".",
IF((COUNTIF(C1181,"Show")+COUNTIF(C1167,"Show")+COUNTIF(C1178,"Show"))=2,CHAR(97+COUNTIF($C$1160:C1185,"Show"))&amp;".",
IF((COUNTIF(C1181,"Show")+COUNTIF(C1167,"Show")+COUNTIF(C1178,"Show"))=1,CHAR(98+COUNTIF($C$1160:C1185,"Show"))&amp;".",
CHAR(99+COUNTIF($C$1160:C1185,"Show")) &amp; ".")))</f>
        <v>u.</v>
      </c>
      <c r="H1186" s="117" t="s">
        <v>2950</v>
      </c>
    </row>
    <row r="1187" spans="2:8" ht="44.1" hidden="1" customHeight="1" outlineLevel="2">
      <c r="B1187" s="12" t="s">
        <v>1101</v>
      </c>
      <c r="C1187" s="9" t="str">
        <f>IF(OR('1. Criteria &amp; Spec Matrix'!E230='3. Dropdowns'!C294,'1. Criteria &amp; Spec Matrix'!E230=""),"Show","Hide")</f>
        <v>Show</v>
      </c>
      <c r="F1187" s="116"/>
      <c r="G1187" s="70" t="str">
        <f>IF((COUNTIF(C1181,"Show")+COUNTIF(C1167,"Show")+COUNTIF(C1178,"Show"))=3,CHAR(96+COUNTIF($C$1160:C1186,"Show"))&amp;".",
IF((COUNTIF(C1181,"Show")+COUNTIF(C1167,"Show")+COUNTIF(C1178,"Show"))=2,CHAR(97+COUNTIF($C$1160:C1186,"Show"))&amp;".",
IF((COUNTIF(C1181,"Show")+COUNTIF(C1167,"Show")+COUNTIF(C1178,"Show"))=1,CHAR(98+COUNTIF($C$1160:C1186,"Show"))&amp;".",
CHAR(99+COUNTIF($C$1160:C1186,"Show")) &amp; ".")))</f>
        <v>v.</v>
      </c>
      <c r="H1187" s="117" t="s">
        <v>1142</v>
      </c>
    </row>
    <row r="1188" spans="2:8" ht="75" hidden="1" outlineLevel="2">
      <c r="B1188" s="76" t="s">
        <v>2622</v>
      </c>
      <c r="C1188" s="7" t="str">
        <f>IF(OR('1. Criteria &amp; Spec Matrix'!E232='3. Dropdowns'!C296,'1. Criteria &amp; Spec Matrix'!E232='3. Dropdowns'!C298),"Hide","Show")</f>
        <v>Show</v>
      </c>
      <c r="F1188" s="116"/>
      <c r="G1188" s="70" t="str">
        <f>IF((COUNTIF(C1181,"Show")+COUNTIF(C1167,"Show")+COUNTIF(C1178,"Show"))=3,CHAR(96+COUNTIF($C$1160:C1187,"Show"))&amp;".",
IF((COUNTIF(C1181,"Show")+COUNTIF(C1167,"Show")+COUNTIF(C1178,"Show"))=2,CHAR(97+COUNTIF($C$1160:C1187,"Show"))&amp;".",
IF((COUNTIF(C1181,"Show")+COUNTIF(C1167,"Show")+COUNTIF(C1178,"Show"))=1,CHAR(98+COUNTIF($C$1160:C1187,"Show"))&amp;".",
CHAR(99+COUNTIF($C$1160:C1187,"Show")) &amp; ".")))</f>
        <v>w.</v>
      </c>
      <c r="H1188" s="117" t="s">
        <v>1143</v>
      </c>
    </row>
    <row r="1189" spans="2:8" ht="45" hidden="1" outlineLevel="2">
      <c r="B1189" s="76" t="s">
        <v>1144</v>
      </c>
      <c r="C1189" s="9" t="str">
        <f>IF(OR('1. Criteria &amp; Spec Matrix'!E232='3. Dropdowns'!C296,'1. Criteria &amp; Spec Matrix'!E232='3. Dropdowns'!C298,'1. Criteria &amp; Spec Matrix'!E232=""),"Show","Hide")</f>
        <v>Show</v>
      </c>
      <c r="F1189" s="116"/>
      <c r="G1189" s="70" t="str">
        <f>IF((COUNTIF(C1181,"Show")+COUNTIF(C1167,"Show")+COUNTIF(C1178,"Show"))=3,CHAR(96+COUNTIF($C$1160:C1188,"Show"))&amp;".",
IF((COUNTIF(C1181,"Show")+COUNTIF(C1167,"Show")+COUNTIF(C1178,"Show"))=2,CHAR(97+COUNTIF($C$1160:C1188,"Show"))&amp;".",
IF((COUNTIF(C1181,"Show")+COUNTIF(C1167,"Show")+COUNTIF(C1178,"Show"))=1,CHAR(98+COUNTIF($C$1160:C1188,"Show"))&amp;".",
CHAR(99+COUNTIF($C$1160:C1188,"Show")) &amp; ".")))</f>
        <v>x.</v>
      </c>
      <c r="H1189" s="117" t="s">
        <v>2565</v>
      </c>
    </row>
    <row r="1190" spans="2:8" ht="45" hidden="1" outlineLevel="2">
      <c r="B1190" s="12" t="s">
        <v>1107</v>
      </c>
      <c r="C1190" s="9" t="str">
        <f>IF(OR('1. Criteria &amp; Spec Matrix'!E232="",'1. Criteria &amp; Spec Matrix'!D232='3. Dropdowns'!C297,'1. Criteria &amp; Spec Matrix'!D232='3. Dropdowns'!C298),"Show","Hide")</f>
        <v>Show</v>
      </c>
      <c r="F1190" s="116"/>
      <c r="G1190" s="70" t="str">
        <f>IF((COUNTIF(C1181,"Show")+COUNTIF(C1167,"Show")+COUNTIF(C1178,"Show"))=3,CHAR(96+COUNTIF($C$1160:C1189,"Show"))&amp;".",
IF((COUNTIF(C1181,"Show")+COUNTIF(C1167,"Show")+COUNTIF(C1178,"Show"))=2,CHAR(97+COUNTIF($C$1160:C1189,"Show"))&amp;".",
IF((COUNTIF(C1181,"Show")+COUNTIF(C1167,"Show")+COUNTIF(C1178,"Show"))=1,CHAR(98+COUNTIF($C$1160:C1189,"Show"))&amp;".",
CHAR(99+COUNTIF($C$1160:C1189,"Show")) &amp; ".")))</f>
        <v>y.</v>
      </c>
      <c r="H1190" s="117" t="s">
        <v>1145</v>
      </c>
    </row>
    <row r="1191" spans="2:8" ht="30" hidden="1" outlineLevel="2">
      <c r="B1191" s="12" t="s">
        <v>1108</v>
      </c>
      <c r="C1191" s="9" t="str">
        <f>IF('1. Criteria &amp; Spec Matrix'!E233='3. Dropdowns'!C299,"Hide","Show")</f>
        <v>Show</v>
      </c>
      <c r="F1191" s="116"/>
      <c r="G1191" s="70" t="str">
        <f>IF((COUNTIF(C1181,"Show")+COUNTIF(C1167,"Show")+COUNTIF(C1178,"Show"))=3,CHAR(96+COUNTIF($C$1160:C1190,"Show"))&amp;".",
IF((COUNTIF(C1181,"Show")+COUNTIF(C1167,"Show")+COUNTIF(C1178,"Show"))=2,CHAR(97+COUNTIF($C$1160:C1190,"Show"))&amp;".",
IF((COUNTIF(C1181,"Show")+COUNTIF(C1167,"Show")+COUNTIF(C1178,"Show"))=1,CHAR(98+COUNTIF($C$1160:C1190,"Show"))&amp;".",
CHAR(99+COUNTIF($C$1160:C1190,"Show")) &amp; ".")))</f>
        <v>z.</v>
      </c>
      <c r="H1191" s="117" t="s">
        <v>1146</v>
      </c>
    </row>
    <row r="1192" spans="2:8" hidden="1" outlineLevel="2">
      <c r="B1192" s="76"/>
      <c r="C1192" s="7" t="s">
        <v>116</v>
      </c>
      <c r="E1192" s="70" t="s">
        <v>621</v>
      </c>
      <c r="F1192" s="120" t="s">
        <v>1175</v>
      </c>
      <c r="G1192" s="70"/>
      <c r="H1192" s="117"/>
    </row>
    <row r="1193" spans="2:8" hidden="1" outlineLevel="2">
      <c r="B1193" s="12" t="s">
        <v>1197</v>
      </c>
      <c r="C1193" s="7" t="str">
        <f>IF(COUNTIF(C1194:C1195,"Show")&gt;0,"Show","Hide")</f>
        <v>Show</v>
      </c>
      <c r="F1193" s="121" t="s">
        <v>121</v>
      </c>
      <c r="G1193" s="71" t="s">
        <v>1196</v>
      </c>
      <c r="H1193" s="117"/>
    </row>
    <row r="1194" spans="2:8" hidden="1" outlineLevel="2">
      <c r="B1194" s="12" t="s">
        <v>1197</v>
      </c>
      <c r="C1194" s="9" t="str">
        <f>IF(AND(COUNTIF('3. Dropdowns'!C307:C308,'1. Criteria &amp; Spec Matrix'!E238)=0,COUNTIF('3. Dropdowns'!C310:C312,'1. Criteria &amp; Spec Matrix'!E239)=0),"Show","Hide")</f>
        <v>Show</v>
      </c>
      <c r="F1194" s="121"/>
      <c r="G1194" s="70" t="s">
        <v>133</v>
      </c>
      <c r="H1194" s="117" t="s">
        <v>1200</v>
      </c>
    </row>
    <row r="1195" spans="2:8" ht="30" hidden="1" outlineLevel="2">
      <c r="B1195" s="12" t="s">
        <v>1197</v>
      </c>
      <c r="C1195" s="9" t="str">
        <f>IF(AND(COUNTIF('3. Dropdowns'!C307:C308,'1. Criteria &amp; Spec Matrix'!E238)=0,COUNTIF('3. Dropdowns'!C310:C312,'1. Criteria &amp; Spec Matrix'!E239)=0),"Show","Hide")</f>
        <v>Show</v>
      </c>
      <c r="F1195" s="121"/>
      <c r="G1195" s="70" t="str">
        <f>CHAR(97+COUNTIF($C$1194:C1194,"Show")) &amp; "."</f>
        <v>b.</v>
      </c>
      <c r="H1195" s="117" t="s">
        <v>1202</v>
      </c>
    </row>
    <row r="1196" spans="2:8" hidden="1" outlineLevel="2">
      <c r="B1196" s="12" t="s">
        <v>1212</v>
      </c>
      <c r="C1196" s="9" t="str">
        <f>IF(OR('1. Criteria &amp; Spec Matrix'!E240='3. Dropdowns'!C314,'1. Criteria &amp; Spec Matrix'!E240='3. Dropdowns'!C315,'1. Criteria &amp; Spec Matrix'!E240='3. Dropdowns'!C316,'1. Criteria &amp; Spec Matrix'!E240=""),"Show",
IF(OR('1. Criteria &amp; Spec Matrix'!E238='3. Dropdowns'!C306,'1. Criteria &amp; Spec Matrix'!E239='3. Dropdowns'!C309),"Show","Hide"))</f>
        <v>Show</v>
      </c>
      <c r="F1196" s="121" t="str">
        <f>(1+COUNTIF(C1193,"Show")) &amp; "."</f>
        <v>2.</v>
      </c>
      <c r="G1196" s="71" t="s">
        <v>1208</v>
      </c>
      <c r="H1196" s="117"/>
    </row>
    <row r="1197" spans="2:8" hidden="1" outlineLevel="2">
      <c r="B1197" s="12" t="s">
        <v>1212</v>
      </c>
      <c r="C1197" s="9" t="str">
        <f>C1196</f>
        <v>Show</v>
      </c>
      <c r="F1197" s="121"/>
      <c r="G1197" s="70" t="s">
        <v>133</v>
      </c>
      <c r="H1197" s="117" t="s">
        <v>1200</v>
      </c>
    </row>
    <row r="1198" spans="2:8" hidden="1" outlineLevel="2">
      <c r="B1198" s="12" t="s">
        <v>1260</v>
      </c>
      <c r="C1198" s="9" t="str">
        <f>IF(COUNTIF(C1199:C1204,"Show")&gt;0,"Show","Hide")</f>
        <v>Show</v>
      </c>
      <c r="F1198" s="121" t="str">
        <f>(1+COUNTIF(C1193,"Show")+COUNTIF(C1196,"Show")) &amp; "."</f>
        <v>3.</v>
      </c>
      <c r="G1198" s="71" t="s">
        <v>1259</v>
      </c>
      <c r="H1198" s="117"/>
    </row>
    <row r="1199" spans="2:8" ht="30" hidden="1" outlineLevel="2">
      <c r="B1199" s="12" t="s">
        <v>1261</v>
      </c>
      <c r="C1199" s="9" t="str">
        <f>IF(OR('1. Criteria &amp; Spec Matrix'!C242="Show",'1. Criteria &amp; Spec Matrix'!E243='3. Dropdowns'!C318,'1. Criteria &amp; Spec Matrix'!E243='3. Dropdowns'!C321,'1. Criteria &amp; Spec Matrix'!E243='3. Dropdowns'!C322,'1. Criteria &amp; Spec Matrix'!E243='3. Dropdowns'!C324),"Show",
IF(AND('1. Criteria &amp; Spec Matrix'!C243="Show",'1. Criteria &amp; Spec Matrix'!E243=""),"Show","Hide"))</f>
        <v>Show</v>
      </c>
      <c r="F1199" s="116"/>
      <c r="G1199" s="70" t="s">
        <v>133</v>
      </c>
      <c r="H1199" s="117" t="s">
        <v>1268</v>
      </c>
    </row>
    <row r="1200" spans="2:8" ht="45.95" hidden="1" customHeight="1" outlineLevel="2">
      <c r="B1200" s="12" t="s">
        <v>1262</v>
      </c>
      <c r="C1200" s="9" t="str">
        <f>IF(AND('1. Criteria &amp; Spec Matrix'!C242="Show",OR('1. Criteria &amp; Spec Matrix'!E190='3. Dropdowns'!C193,'1. Criteria &amp; Spec Matrix'!E190='3. Dropdowns'!C194,'1. Criteria &amp; Spec Matrix'!E190='3. Dropdowns'!C195,'1. Criteria &amp; Spec Matrix'!E190='3. Dropdowns'!C196)),"Show",
IF(AND('1. Criteria &amp; Spec Matrix'!C243="Show",OR('1. Criteria &amp; Spec Matrix'!E190='3. Dropdowns'!C193,'1. Criteria &amp; Spec Matrix'!E190='3. Dropdowns'!C194,'1. Criteria &amp; Spec Matrix'!E190='3. Dropdowns'!C195,'1. Criteria &amp; Spec Matrix'!E190='3. Dropdowns'!C196),OR('1. Criteria &amp; Spec Matrix'!E243='3. Dropdowns'!C318,'1. Criteria &amp; Spec Matrix'!E243='3. Dropdowns'!C321,'1. Criteria &amp; Spec Matrix'!E243='3. Dropdowns'!C322,'1. Criteria &amp; Spec Matrix'!E243='3. Dropdowns'!C324)),"Show",
IF(OR('1. Criteria &amp; Spec Matrix'!E190="",AND('1. Criteria &amp; Spec Matrix'!C243="Show",'1. Criteria &amp; Spec Matrix'!E243="")),"Show","Hide")))</f>
        <v>Show</v>
      </c>
      <c r="F1200" s="116"/>
      <c r="G1200" s="70"/>
      <c r="H1200" s="117" t="s">
        <v>2649</v>
      </c>
    </row>
    <row r="1201" spans="2:8" ht="60" hidden="1" outlineLevel="2">
      <c r="B1201" s="12" t="s">
        <v>1263</v>
      </c>
      <c r="C1201" s="9" t="str">
        <f>IF(OR('1. Criteria &amp; Spec Matrix'!C242="Show",'1. Criteria &amp; Spec Matrix'!E243='3. Dropdowns'!C319,'1. Criteria &amp; Spec Matrix'!E243='3. Dropdowns'!C321,'1. Criteria &amp; Spec Matrix'!E243='3. Dropdowns'!C323,'1. Criteria &amp; Spec Matrix'!E243='3. Dropdowns'!C324),"Show",
IF(AND('1. Criteria &amp; Spec Matrix'!C243="Show",'1. Criteria &amp; Spec Matrix'!E243=""),"Show","Hide"))</f>
        <v>Show</v>
      </c>
      <c r="F1201" s="116"/>
      <c r="G1201" s="70" t="str">
        <f>IF(C1200="Show",CHAR(96+COUNTIF($C$1199:C1200,"Show")) &amp; ".",CHAR(97+COUNTIF($C$1199:C1200,"Show")) &amp; ".")</f>
        <v>b.</v>
      </c>
      <c r="H1201" s="117" t="s">
        <v>1269</v>
      </c>
    </row>
    <row r="1202" spans="2:8" ht="30" hidden="1" outlineLevel="2">
      <c r="B1202" s="12" t="s">
        <v>1264</v>
      </c>
      <c r="C1202" s="9" t="str">
        <f>IF(OR('1. Criteria &amp; Spec Matrix'!C242="Show",'1. Criteria &amp; Spec Matrix'!E243='3. Dropdowns'!C320,'1. Criteria &amp; Spec Matrix'!E243='3. Dropdowns'!C322,'1. Criteria &amp; Spec Matrix'!E243='3. Dropdowns'!C323,'1. Criteria &amp; Spec Matrix'!E243='3. Dropdowns'!C324),"Show",
IF(AND('1. Criteria &amp; Spec Matrix'!C243="Show",'1. Criteria &amp; Spec Matrix'!E243=""),"Show","Hide"))</f>
        <v>Show</v>
      </c>
      <c r="F1202" s="116"/>
      <c r="G1202" s="70" t="str">
        <f>IF(C1200="Show",CHAR(96+COUNTIF($C$1199:C1201,"Show")) &amp; ".",CHAR(97+COUNTIF($C$1199:C1201,"Show")) &amp; ".")</f>
        <v>c.</v>
      </c>
      <c r="H1202" s="117" t="s">
        <v>1270</v>
      </c>
    </row>
    <row r="1203" spans="2:8" ht="30" hidden="1" outlineLevel="2">
      <c r="B1203" s="12" t="s">
        <v>1265</v>
      </c>
      <c r="C1203" s="9" t="str">
        <f>IF(AND('1. Criteria &amp; Spec Matrix'!C242="Show",OR('1. Criteria &amp; Spec Matrix'!D7='3. Dropdowns'!C19,'1. Criteria &amp; Spec Matrix'!D7='3. Dropdowns'!C19),'1. Criteria &amp; Spec Matrix'!E244='3. Dropdowns'!C326,),"Show",
IF(AND('1. Criteria &amp; Spec Matrix'!C244="Show",'1. Criteria &amp; Spec Matrix'!E244=""),"Show","Hide"))</f>
        <v>Show</v>
      </c>
      <c r="F1203" s="116"/>
      <c r="G1203" s="70" t="str">
        <f>IF(C1200="Show",CHAR(96+COUNTIF($C$1199:C1202,"Show")) &amp; ".",CHAR(97+COUNTIF($C$1199:C1202,"Show")) &amp; ".")</f>
        <v>d.</v>
      </c>
      <c r="H1203" s="117" t="s">
        <v>1271</v>
      </c>
    </row>
    <row r="1204" spans="2:8" ht="45" hidden="1" outlineLevel="2">
      <c r="B1204" s="12" t="s">
        <v>2626</v>
      </c>
      <c r="C1204" s="9" t="str">
        <f>IF('1. Criteria &amp; Spec Matrix'!C242="Show","Show",IF(AND('1. Criteria &amp; Spec Matrix'!C243="Show",NOT('1. Criteria &amp; Spec Matrix'!E243='3. Dropdowns'!C317)),"Show",IF(AND('1. Criteria &amp; Spec Matrix'!C244="Show",OR('1. Criteria &amp; Spec Matrix'!E244='3. Dropdowns'!C326,'1. Criteria &amp; Spec Matrix'!E244="")),"Show","Hide")))</f>
        <v>Show</v>
      </c>
      <c r="F1204" s="116"/>
      <c r="G1204" s="70" t="str">
        <f>IF(C1200="Show",CHAR(96+COUNTIF($C$1199:C1203,"Show")) &amp; ".",CHAR(97+COUNTIF($C$1199:C1203,"Show")) &amp; ".")</f>
        <v>e.</v>
      </c>
      <c r="H1204" s="117" t="s">
        <v>1272</v>
      </c>
    </row>
    <row r="1205" spans="2:8" hidden="1" outlineLevel="2">
      <c r="B1205" s="12" t="s">
        <v>1283</v>
      </c>
      <c r="C1205" s="9" t="str">
        <f>C1206</f>
        <v>Show</v>
      </c>
      <c r="F1205" s="121" t="str">
        <f>(1+COUNTIF(C1193,"Show")+COUNTIF(C1196,"Show")+COUNTIF(C1198,"Show")) &amp; "."</f>
        <v>4.</v>
      </c>
      <c r="G1205" s="71" t="s">
        <v>1281</v>
      </c>
      <c r="H1205" s="117"/>
    </row>
    <row r="1206" spans="2:8" hidden="1" outlineLevel="2">
      <c r="B1206" s="12" t="s">
        <v>1283</v>
      </c>
      <c r="C1206" s="9" t="str">
        <f>IF('1. Criteria &amp; Spec Matrix'!E245='3. Dropdowns'!C328,"Hide","Show")</f>
        <v>Show</v>
      </c>
      <c r="F1206" s="116"/>
      <c r="G1206" s="70" t="s">
        <v>133</v>
      </c>
      <c r="H1206" s="117" t="s">
        <v>1284</v>
      </c>
    </row>
    <row r="1207" spans="2:8" hidden="1" outlineLevel="2">
      <c r="B1207" s="12" t="s">
        <v>1289</v>
      </c>
      <c r="C1207" s="9" t="str">
        <f>C1208</f>
        <v>Show</v>
      </c>
      <c r="F1207" s="121" t="str">
        <f>(1+COUNTIF(C1193,"Show")+COUNTIF(C1196,"Show")+COUNTIF(C1198,"Show")+COUNTIF(C1205,"Show")) &amp; "."</f>
        <v>5.</v>
      </c>
      <c r="G1207" s="71" t="s">
        <v>1288</v>
      </c>
      <c r="H1207" s="117"/>
    </row>
    <row r="1208" spans="2:8" hidden="1" outlineLevel="2">
      <c r="B1208" s="12" t="s">
        <v>1289</v>
      </c>
      <c r="C1208" s="9" t="str">
        <f>IF(OR('1. Criteria &amp; Spec Matrix'!E246='3. Dropdowns'!C331,'1. Criteria &amp; Spec Matrix'!E246=""),"Show","Hide")</f>
        <v>Show</v>
      </c>
      <c r="F1208" s="121"/>
      <c r="G1208" s="70" t="s">
        <v>133</v>
      </c>
      <c r="H1208" s="117" t="s">
        <v>2665</v>
      </c>
    </row>
    <row r="1209" spans="2:8" hidden="1" outlineLevel="2">
      <c r="B1209" s="12" t="s">
        <v>1312</v>
      </c>
      <c r="C1209" s="9" t="str">
        <f>IF(COUNTIF(C1210:C1213,"Show")&gt;0,"Show","Hide")</f>
        <v>Show</v>
      </c>
      <c r="F1209" s="121" t="str">
        <f>(1+COUNTIF(C1193,"Show")+COUNTIF(C1196,"Show")+COUNTIF(C1198,"Show")+COUNTIF(C1205,"Show")+COUNTIF(C1207,"Show")) &amp; "."</f>
        <v>6.</v>
      </c>
      <c r="G1209" s="71" t="s">
        <v>1299</v>
      </c>
      <c r="H1209" s="117"/>
    </row>
    <row r="1210" spans="2:8" ht="15.95" hidden="1" customHeight="1" outlineLevel="2">
      <c r="B1210" s="12" t="s">
        <v>1301</v>
      </c>
      <c r="C1210" s="9" t="str">
        <f>IF(OR('1. Criteria &amp; Spec Matrix'!E247='3. Dropdowns'!C332,AND('1. Criteria &amp; Spec Matrix'!C247="Show",'1. Criteria &amp; Spec Matrix'!E247="")),"Show",
IF(OR('1. Criteria &amp; Spec Matrix'!E248='3. Dropdowns'!C337,AND('1. Criteria &amp; Spec Matrix'!C248="Show",'1. Criteria &amp; Spec Matrix'!E248="")),"Show","Hide"))</f>
        <v>Show</v>
      </c>
      <c r="F1210" s="121"/>
      <c r="G1210" s="70" t="s">
        <v>133</v>
      </c>
      <c r="H1210" s="117" t="s">
        <v>1311</v>
      </c>
    </row>
    <row r="1211" spans="2:8" ht="15" hidden="1" customHeight="1" outlineLevel="2">
      <c r="B1211" s="12" t="s">
        <v>1305</v>
      </c>
      <c r="C1211" s="9" t="str">
        <f>IF(OR('1. Criteria &amp; Spec Matrix'!E247='3. Dropdowns'!C334,AND('1. Criteria &amp; Spec Matrix'!C247="Show",'1. Criteria &amp; Spec Matrix'!E247="")),"Show",
IF(OR('1. Criteria &amp; Spec Matrix'!E248='3. Dropdowns'!C339,AND('1. Criteria &amp; Spec Matrix'!C248="Show",'1. Criteria &amp; Spec Matrix'!E248="")),"Show","Hide"))</f>
        <v>Show</v>
      </c>
      <c r="F1211" s="121"/>
      <c r="G1211" s="70" t="str">
        <f>CHAR(97+COUNTIF($C$1210:C1210,"Show")) &amp; "."</f>
        <v>b.</v>
      </c>
      <c r="H1211" s="117" t="s">
        <v>1313</v>
      </c>
    </row>
    <row r="1212" spans="2:8" ht="30" hidden="1" outlineLevel="2">
      <c r="B1212" s="12" t="s">
        <v>1314</v>
      </c>
      <c r="C1212" s="9" t="str">
        <f>IF(OR('1. Criteria &amp; Spec Matrix'!E247='3. Dropdowns'!C334,'1. Criteria &amp; Spec Matrix'!E248='3. Dropdowns'!C339),"Show",
IF(AND('1. Criteria &amp; Spec Matrix'!C247="Show",'1. Criteria &amp; Spec Matrix'!E247=""),"Show",
IF(AND('1. Criteria &amp; Spec Matrix'!C248="Show",'1. Criteria &amp; Spec Matrix'!E248=""),"Show","Hide")))</f>
        <v>Show</v>
      </c>
      <c r="F1212" s="121"/>
      <c r="G1212" s="70" t="str">
        <f>CHAR(97+COUNTIF($C$1210:C1211,"Show")) &amp; "."</f>
        <v>c.</v>
      </c>
      <c r="H1212" s="117" t="s">
        <v>1316</v>
      </c>
    </row>
    <row r="1213" spans="2:8" ht="45" hidden="1" outlineLevel="2">
      <c r="B1213" s="12" t="s">
        <v>1315</v>
      </c>
      <c r="C1213" s="9" t="str">
        <f>IF(OR('1. Criteria &amp; Spec Matrix'!E247='3. Dropdowns'!C335,'1. Criteria &amp; Spec Matrix'!E248='3. Dropdowns'!C340),"Show",
IF(AND('1. Criteria &amp; Spec Matrix'!C247="Show",'1. Criteria &amp; Spec Matrix'!E247=""),"Show",
IF(AND('1. Criteria &amp; Spec Matrix'!C248="Show",'1. Criteria &amp; Spec Matrix'!E248=""),"Show","Hide")))</f>
        <v>Show</v>
      </c>
      <c r="F1213" s="121"/>
      <c r="G1213" s="70" t="str">
        <f>CHAR(97+COUNTIF($C$1210:C1212,"Show")) &amp; "."</f>
        <v>d.</v>
      </c>
      <c r="H1213" s="117" t="s">
        <v>1317</v>
      </c>
    </row>
    <row r="1214" spans="2:8" hidden="1" outlineLevel="2">
      <c r="B1214" s="76" t="s">
        <v>1326</v>
      </c>
      <c r="C1214" s="9" t="str">
        <f>'1. Criteria &amp; Spec Matrix'!C249</f>
        <v>Show</v>
      </c>
      <c r="F1214" s="121" t="str">
        <f>(1+COUNTIF(C1193,"Show")+COUNTIF(C1196,"Show")+COUNTIF(C1198,"Show")+COUNTIF(C1205,"Show")+COUNTIF(C1207,"Show")+COUNTIF(C1209,"Show")) &amp; "."</f>
        <v>7.</v>
      </c>
      <c r="G1214" s="71" t="s">
        <v>1325</v>
      </c>
      <c r="H1214" s="117"/>
    </row>
    <row r="1215" spans="2:8" ht="45" hidden="1" outlineLevel="2">
      <c r="B1215" s="76" t="s">
        <v>1326</v>
      </c>
      <c r="C1215" s="9" t="str">
        <f>C1214</f>
        <v>Show</v>
      </c>
      <c r="F1215" s="116"/>
      <c r="G1215" s="70" t="s">
        <v>133</v>
      </c>
      <c r="H1215" s="117" t="s">
        <v>1328</v>
      </c>
    </row>
    <row r="1216" spans="2:8" ht="30" hidden="1" outlineLevel="2">
      <c r="B1216" s="76" t="s">
        <v>1326</v>
      </c>
      <c r="C1216" s="9" t="str">
        <f>C1215</f>
        <v>Show</v>
      </c>
      <c r="F1216" s="78"/>
      <c r="G1216" s="70" t="str">
        <f>CHAR(97+COUNTIF($C$1215:C1215,"Show")) &amp; "."</f>
        <v>b.</v>
      </c>
      <c r="H1216" s="28" t="s">
        <v>1336</v>
      </c>
    </row>
    <row r="1217" spans="2:8" hidden="1" outlineLevel="2">
      <c r="B1217" s="12" t="s">
        <v>2561</v>
      </c>
      <c r="C1217" s="9" t="str">
        <f>IF('1. Criteria &amp; Spec Matrix'!C251="Show","Show",IF(OR('1. Criteria &amp; Spec Matrix'!E252='3. Dropdowns'!C343,'1. Criteria &amp; Spec Matrix'!E252='3. Dropdowns'!C344),"Show",IF(AND('1. Criteria &amp; Spec Matrix'!C252="Show",'1. Criteria &amp; Spec Matrix'!E252=""),"Show","Hide")))</f>
        <v>Show</v>
      </c>
      <c r="F1217" s="121" t="str">
        <f>(1+COUNTIF(C1193,"Show")+COUNTIF(C1196,"Show")+COUNTIF(C1198,"Show")+COUNTIF(C1205,"Show")+COUNTIF(C1207,"Show")+COUNTIF(C1209,"Show")+COUNTIF(C1214,"Show")) &amp; "."</f>
        <v>8.</v>
      </c>
      <c r="G1217" s="71" t="s">
        <v>1349</v>
      </c>
      <c r="H1217" s="117"/>
    </row>
    <row r="1218" spans="2:8" ht="90.95" hidden="1" customHeight="1" outlineLevel="2">
      <c r="B1218" s="12" t="s">
        <v>2561</v>
      </c>
      <c r="C1218" s="9" t="str">
        <f>C1217</f>
        <v>Show</v>
      </c>
      <c r="F1218" s="116"/>
      <c r="G1218" s="70" t="s">
        <v>133</v>
      </c>
      <c r="H1218" s="117" t="s">
        <v>1350</v>
      </c>
    </row>
    <row r="1219" spans="2:8" ht="15" hidden="1" customHeight="1" outlineLevel="2">
      <c r="B1219" s="12" t="s">
        <v>1358</v>
      </c>
      <c r="C1219" s="9" t="str">
        <f>C1217</f>
        <v>Show</v>
      </c>
      <c r="F1219" s="116"/>
      <c r="G1219" s="70" t="str">
        <f>CHAR(97+COUNTIF($C$1218:C1218,"Show")) &amp; "."</f>
        <v>b.</v>
      </c>
      <c r="H1219" s="117" t="s">
        <v>1352</v>
      </c>
    </row>
    <row r="1220" spans="2:8" ht="30" hidden="1" outlineLevel="2">
      <c r="B1220" s="12" t="s">
        <v>1359</v>
      </c>
      <c r="C1220" s="9" t="str">
        <f>C1217</f>
        <v>Show</v>
      </c>
      <c r="F1220" s="78"/>
      <c r="G1220" s="70" t="str">
        <f>CHAR(97+COUNTIF($C$1218:C1219,"Show")) &amp; "."</f>
        <v>c.</v>
      </c>
      <c r="H1220" s="28" t="s">
        <v>2666</v>
      </c>
    </row>
    <row r="1221" spans="2:8" hidden="1" outlineLevel="2">
      <c r="B1221" s="76"/>
      <c r="C1221" s="7" t="s">
        <v>116</v>
      </c>
      <c r="F1221" s="121" t="str">
        <f>(1+COUNTIF(C1193,"Show")+COUNTIF(C1196,"Show")+COUNTIF(C1198,"Show")+COUNTIF(C1205,"Show")+COUNTIF(C1207,"Show")+COUNTIF(C1209,"Show")+COUNTIF(C1214,"Show")+COUNTIF(C1217,"Show")) &amp; "."</f>
        <v>9.</v>
      </c>
      <c r="G1221" s="71" t="s">
        <v>1360</v>
      </c>
      <c r="H1221" s="117"/>
    </row>
    <row r="1222" spans="2:8" hidden="1" outlineLevel="2">
      <c r="B1222" s="76"/>
      <c r="C1222" s="7" t="s">
        <v>116</v>
      </c>
      <c r="F1222" s="116"/>
      <c r="G1222" s="70" t="s">
        <v>133</v>
      </c>
      <c r="H1222" s="117" t="s">
        <v>1363</v>
      </c>
    </row>
    <row r="1223" spans="2:8" ht="30" hidden="1" outlineLevel="2">
      <c r="B1223" s="76"/>
      <c r="C1223" s="7" t="s">
        <v>116</v>
      </c>
      <c r="F1223" s="78"/>
      <c r="G1223" s="70" t="s">
        <v>134</v>
      </c>
      <c r="H1223" s="28" t="s">
        <v>1362</v>
      </c>
    </row>
    <row r="1224" spans="2:8" hidden="1" outlineLevel="2">
      <c r="B1224" s="12" t="s">
        <v>836</v>
      </c>
      <c r="C1224" s="7" t="str">
        <f>IF(COUNTIF(C1225:C1228,"Show")&gt;0,"Show","Hide")</f>
        <v>Show</v>
      </c>
      <c r="F1224" s="121" t="str">
        <f>(2+COUNTIF(C1193,"Show")+COUNTIF(C1196,"Show")+COUNTIF(C1198,"Show")+COUNTIF(C1205,"Show")+COUNTIF(C1207,"Show")+COUNTIF(C1209,"Show")+COUNTIF(C1214,"Show")+COUNTIF(C1217,"Show")) &amp; "."</f>
        <v>10.</v>
      </c>
      <c r="G1224" s="71" t="s">
        <v>2951</v>
      </c>
      <c r="H1224" s="117"/>
    </row>
    <row r="1225" spans="2:8" ht="30" hidden="1" outlineLevel="2">
      <c r="B1225" s="12" t="s">
        <v>1371</v>
      </c>
      <c r="C1225" s="9" t="str">
        <f>IF(OR('1. Criteria &amp; Spec Matrix'!E254='3. Dropdowns'!C348,'1. Criteria &amp; Spec Matrix'!E254='3. Dropdowns'!C350,AND('1. Criteria &amp; Spec Matrix'!C254="Show",'1. Criteria &amp; Spec Matrix'!E254="")),"Show","Hide")</f>
        <v>Show</v>
      </c>
      <c r="F1225" s="116"/>
      <c r="G1225" s="70" t="s">
        <v>133</v>
      </c>
      <c r="H1225" s="117" t="s">
        <v>1387</v>
      </c>
    </row>
    <row r="1226" spans="2:8" hidden="1" outlineLevel="2">
      <c r="B1226" s="12" t="s">
        <v>1371</v>
      </c>
      <c r="C1226" s="9" t="str">
        <f>C1225</f>
        <v>Show</v>
      </c>
      <c r="F1226" s="116"/>
      <c r="G1226" s="70" t="str">
        <f>CHAR(97+COUNTIF($C$1225:C1225,"Show")) &amp; "."</f>
        <v>b.</v>
      </c>
      <c r="H1226" s="117" t="s">
        <v>1373</v>
      </c>
    </row>
    <row r="1227" spans="2:8" ht="30" hidden="1" outlineLevel="2">
      <c r="B1227" s="12" t="s">
        <v>1372</v>
      </c>
      <c r="C1227" s="9" t="str">
        <f>IF(OR('1. Criteria &amp; Spec Matrix'!E254='3. Dropdowns'!C349,'1. Criteria &amp; Spec Matrix'!E254='3. Dropdowns'!C350,AND('1. Criteria &amp; Spec Matrix'!C254="Show",'1. Criteria &amp; Spec Matrix'!E254="")),"Show","Hide")</f>
        <v>Show</v>
      </c>
      <c r="F1227" s="116"/>
      <c r="G1227" s="70" t="str">
        <f>CHAR(97+COUNTIF($C$1225:C1226,"Show")) &amp; "."</f>
        <v>c.</v>
      </c>
      <c r="H1227" s="117" t="s">
        <v>1374</v>
      </c>
    </row>
    <row r="1228" spans="2:8" ht="30" hidden="1" outlineLevel="2">
      <c r="B1228" s="12" t="s">
        <v>1372</v>
      </c>
      <c r="C1228" s="9" t="str">
        <f>C1227</f>
        <v>Show</v>
      </c>
      <c r="F1228" s="116"/>
      <c r="G1228" s="70" t="str">
        <f>CHAR(97+COUNTIF($C$1225:C1227,"Show")) &amp; "."</f>
        <v>d.</v>
      </c>
      <c r="H1228" s="117" t="s">
        <v>1375</v>
      </c>
    </row>
    <row r="1229" spans="2:8" hidden="1" outlineLevel="2">
      <c r="B1229" s="12" t="s">
        <v>1386</v>
      </c>
      <c r="C1229" s="7" t="str">
        <f>IF(COUNTIF(C1230:C1235,"Show")&gt;0,"Show","Hide")</f>
        <v>Show</v>
      </c>
      <c r="F1229" s="121" t="str">
        <f>(2+COUNTIF(C1193,"Show")+COUNTIF(C1196,"Show")+COUNTIF(C1198,"Show")+COUNTIF(C1205,"Show")+COUNTIF(C1207,"Show")+COUNTIF(C1209,"Show")+COUNTIF(C1214,"Show")+COUNTIF(C1217,"Show")+COUNTIF(C1224,"Show")) &amp; "."</f>
        <v>11.</v>
      </c>
      <c r="G1229" s="71" t="s">
        <v>2952</v>
      </c>
      <c r="H1229" s="117"/>
    </row>
    <row r="1230" spans="2:8" ht="30" hidden="1" outlineLevel="2">
      <c r="B1230" s="12" t="s">
        <v>1381</v>
      </c>
      <c r="C1230" s="9" t="str">
        <f>IF(OR('1. Criteria &amp; Spec Matrix'!E255='3. Dropdowns'!C353,AND('1. Criteria &amp; Spec Matrix'!C255="Show",'1. Criteria &amp; Spec Matrix'!E255="")),"Show","Hide")</f>
        <v>Show</v>
      </c>
      <c r="F1230" s="116"/>
      <c r="G1230" s="70" t="s">
        <v>133</v>
      </c>
      <c r="H1230" s="117" t="s">
        <v>1387</v>
      </c>
    </row>
    <row r="1231" spans="2:8" hidden="1" outlineLevel="2">
      <c r="B1231" s="12" t="s">
        <v>1381</v>
      </c>
      <c r="C1231" s="9" t="str">
        <f>C1230</f>
        <v>Show</v>
      </c>
      <c r="F1231" s="116"/>
      <c r="G1231" s="70" t="str">
        <f>CHAR(97+COUNTIF($C$1230:C1230,"Show")) &amp; "."</f>
        <v>b.</v>
      </c>
      <c r="H1231" s="117" t="s">
        <v>1373</v>
      </c>
    </row>
    <row r="1232" spans="2:8" ht="30" hidden="1" outlineLevel="2">
      <c r="B1232" s="12" t="s">
        <v>1382</v>
      </c>
      <c r="C1232" s="9" t="str">
        <f>IF(OR('1. Criteria &amp; Spec Matrix'!E255='3. Dropdowns'!C354,AND('1. Criteria &amp; Spec Matrix'!C255="Show",'1. Criteria &amp; Spec Matrix'!E255="")),"Show","Hide")</f>
        <v>Show</v>
      </c>
      <c r="F1232" s="116"/>
      <c r="G1232" s="70" t="str">
        <f>CHAR(97+COUNTIF($C$1230:C1231,"Show")) &amp; "."</f>
        <v>c.</v>
      </c>
      <c r="H1232" s="117" t="s">
        <v>1388</v>
      </c>
    </row>
    <row r="1233" spans="2:8" hidden="1" outlineLevel="2">
      <c r="B1233" s="12" t="s">
        <v>1382</v>
      </c>
      <c r="C1233" s="9" t="str">
        <f>C1232</f>
        <v>Show</v>
      </c>
      <c r="F1233" s="116"/>
      <c r="G1233" s="70" t="str">
        <f>CHAR(97+COUNTIF($C$1230:C1232,"Show")) &amp; "."</f>
        <v>d.</v>
      </c>
      <c r="H1233" s="117" t="s">
        <v>1389</v>
      </c>
    </row>
    <row r="1234" spans="2:8" ht="30" hidden="1" outlineLevel="2">
      <c r="B1234" s="12" t="s">
        <v>1392</v>
      </c>
      <c r="C1234" s="9" t="str">
        <f>IF('1. Criteria &amp; Spec Matrix'!E255='3. Dropdowns'!C355,"Show",IF(AND('1. Criteria &amp; Spec Matrix'!C255="Show",'1. Criteria &amp; Spec Matrix'!E255=""),"Show","Hide"))</f>
        <v>Show</v>
      </c>
      <c r="F1234" s="116"/>
      <c r="G1234" s="70" t="str">
        <f>CHAR(97+COUNTIF($C$1230:C1233,"Show")) &amp; "."</f>
        <v>e.</v>
      </c>
      <c r="H1234" s="117" t="s">
        <v>1390</v>
      </c>
    </row>
    <row r="1235" spans="2:8" ht="30" hidden="1" outlineLevel="2">
      <c r="B1235" s="12" t="s">
        <v>1393</v>
      </c>
      <c r="C1235" s="9" t="str">
        <f>IF('1. Criteria &amp; Spec Matrix'!E255='3. Dropdowns'!C356,"Show",IF(AND('1. Criteria &amp; Spec Matrix'!C255="Show",'1. Criteria &amp; Spec Matrix'!E255=""),"Show","Hide"))</f>
        <v>Show</v>
      </c>
      <c r="F1235" s="78"/>
      <c r="G1235" s="70" t="str">
        <f>CHAR(97+COUNTIF($C$1230:C1234,"Show")) &amp; "."</f>
        <v>f.</v>
      </c>
      <c r="H1235" s="117" t="s">
        <v>1391</v>
      </c>
    </row>
    <row r="1236" spans="2:8" hidden="1" outlineLevel="2">
      <c r="B1236" s="12" t="s">
        <v>1399</v>
      </c>
      <c r="C1236" s="7" t="str">
        <f>IF(COUNTIF(C1237:C1239,"Show")&gt;0,"Show","Hide")</f>
        <v>Show</v>
      </c>
      <c r="F1236" s="121" t="str">
        <f>(2+COUNTIF(C1193,"Show")+COUNTIF(C1196,"Show")+COUNTIF(C1198,"Show")+COUNTIF(C1205,"Show")+COUNTIF(C1207,"Show")+COUNTIF(C1209,"Show")+COUNTIF(C1214,"Show")+COUNTIF(C1217,"Show")+COUNTIF(C1224,"Show")+COUNTIF(C1229,"Show")) &amp; "."</f>
        <v>12.</v>
      </c>
      <c r="G1236" s="71" t="s">
        <v>1402</v>
      </c>
      <c r="H1236" s="117"/>
    </row>
    <row r="1237" spans="2:8" ht="45" hidden="1" outlineLevel="2">
      <c r="B1237" s="12" t="s">
        <v>1420</v>
      </c>
      <c r="C1237" s="9" t="str">
        <f>IF('1. Criteria &amp; Spec Matrix'!E260='3. Dropdowns'!C357,"Show",IF(AND('1. Criteria &amp; Spec Matrix'!C260="Show",'1. Criteria &amp; Spec Matrix'!E260=""),"Show","Hide"))</f>
        <v>Show</v>
      </c>
      <c r="F1237" s="78"/>
      <c r="G1237" s="70" t="s">
        <v>133</v>
      </c>
      <c r="H1237" s="75" t="s">
        <v>1421</v>
      </c>
    </row>
    <row r="1238" spans="2:8" hidden="1" outlineLevel="2">
      <c r="B1238" s="12" t="s">
        <v>1414</v>
      </c>
      <c r="C1238" s="2" t="str">
        <f>IF(OR('1. Criteria &amp; Spec Matrix'!E265='3. Dropdowns'!C359,AND('1. Criteria &amp; Spec Matrix'!C265="Show",'1. Criteria &amp; Spec Matrix'!E265="")),"Show","Hide")</f>
        <v>Show</v>
      </c>
      <c r="F1238" s="116"/>
      <c r="G1238" s="70" t="str">
        <f>CHAR(97+COUNTIF($C$1237:C1237,"Show")) &amp; "."</f>
        <v>b.</v>
      </c>
      <c r="H1238" s="75" t="s">
        <v>1418</v>
      </c>
    </row>
    <row r="1239" spans="2:8" hidden="1" outlineLevel="2">
      <c r="B1239" s="12" t="s">
        <v>1416</v>
      </c>
      <c r="C1239" s="2" t="str">
        <f>IF(OR('1. Criteria &amp; Spec Matrix'!E265='3. Dropdowns'!C360,AND('1. Criteria &amp; Spec Matrix'!C265="Show",'1. Criteria &amp; Spec Matrix'!E265="")),"Show","Hide")</f>
        <v>Show</v>
      </c>
      <c r="F1239" s="116"/>
      <c r="G1239" s="70" t="str">
        <f>CHAR(97+COUNTIF($C$1237:C1238,"Show")) &amp; "."</f>
        <v>c.</v>
      </c>
      <c r="H1239" s="75" t="s">
        <v>1419</v>
      </c>
    </row>
    <row r="1240" spans="2:8" hidden="1" outlineLevel="2">
      <c r="B1240" s="12" t="s">
        <v>2573</v>
      </c>
      <c r="C1240" s="7" t="str">
        <f>IF(COUNTIF(C1241:C1251,"Show")&gt;0,"Show","Hide")</f>
        <v>Show</v>
      </c>
      <c r="F1240" s="121" t="str">
        <f>(2+COUNTIF(C1193,"Show")+COUNTIF(C1196,"Show")+COUNTIF(C1198,"Show")+COUNTIF(C1205,"Show")+COUNTIF(C1207,"Show")+COUNTIF(C1209,"Show")+COUNTIF(C1214,"Show")+COUNTIF(C1217,"Show")+COUNTIF(C1224,"Show")+COUNTIF(C1229,"Show")+COUNTIF(C1236,"Show")) &amp; "."</f>
        <v>13.</v>
      </c>
      <c r="G1240" s="71" t="s">
        <v>1446</v>
      </c>
    </row>
    <row r="1241" spans="2:8" ht="30" hidden="1" outlineLevel="2">
      <c r="B1241" s="16" t="s">
        <v>1431</v>
      </c>
      <c r="C1241" s="2" t="str">
        <f>IF('1. Criteria &amp; Spec Matrix'!E267='3. Dropdowns'!C369,"Hide","Show")</f>
        <v>Show</v>
      </c>
      <c r="F1241" s="116"/>
      <c r="G1241" s="70" t="s">
        <v>133</v>
      </c>
      <c r="H1241" s="75" t="s">
        <v>1455</v>
      </c>
    </row>
    <row r="1242" spans="2:8" ht="30" hidden="1" outlineLevel="2">
      <c r="B1242" s="16" t="s">
        <v>1433</v>
      </c>
      <c r="C1242" s="2" t="str">
        <f>IF('1. Criteria &amp; Spec Matrix'!E268='3. Dropdowns'!C369,"Hide","Show")</f>
        <v>Show</v>
      </c>
      <c r="F1242" s="116"/>
      <c r="G1242" s="70" t="str">
        <f>CHAR(97+COUNTIF($C$1241:C1241,"Show")) &amp; "."</f>
        <v>b.</v>
      </c>
      <c r="H1242" s="75" t="s">
        <v>1456</v>
      </c>
    </row>
    <row r="1243" spans="2:8" ht="30" hidden="1" outlineLevel="2">
      <c r="B1243" s="16" t="s">
        <v>1432</v>
      </c>
      <c r="C1243" s="2" t="str">
        <f>IF('1. Criteria &amp; Spec Matrix'!E269='3. Dropdowns'!C369,"Hide","Show")</f>
        <v>Show</v>
      </c>
      <c r="F1243" s="116"/>
      <c r="G1243" s="70" t="str">
        <f>CHAR(97+COUNTIF($C$1241:C1242,"Show")) &amp; "."</f>
        <v>c.</v>
      </c>
      <c r="H1243" s="75" t="s">
        <v>1457</v>
      </c>
    </row>
    <row r="1244" spans="2:8" ht="30" hidden="1" outlineLevel="2">
      <c r="B1244" s="16" t="s">
        <v>1434</v>
      </c>
      <c r="C1244" s="2" t="str">
        <f>IF('1. Criteria &amp; Spec Matrix'!E270='3. Dropdowns'!C369,"Hide","Show")</f>
        <v>Show</v>
      </c>
      <c r="F1244" s="116"/>
      <c r="G1244" s="70" t="str">
        <f>CHAR(97+COUNTIF($C$1241:C1243,"Show")) &amp; "."</f>
        <v>d.</v>
      </c>
      <c r="H1244" s="75" t="s">
        <v>1458</v>
      </c>
    </row>
    <row r="1245" spans="2:8" ht="30" hidden="1" outlineLevel="2">
      <c r="B1245" s="16" t="s">
        <v>1437</v>
      </c>
      <c r="C1245" s="2" t="str">
        <f>IF('1. Criteria &amp; Spec Matrix'!E274='3. Dropdowns'!C369,"Hide","Show")</f>
        <v>Show</v>
      </c>
      <c r="F1245" s="116"/>
      <c r="G1245" s="70" t="str">
        <f>CHAR(97+COUNTIF($C$1241:C1244,"Show")) &amp; "."</f>
        <v>e.</v>
      </c>
      <c r="H1245" s="75" t="s">
        <v>1459</v>
      </c>
    </row>
    <row r="1246" spans="2:8" ht="30" hidden="1" outlineLevel="2">
      <c r="B1246" s="16" t="s">
        <v>1438</v>
      </c>
      <c r="C1246" s="2" t="str">
        <f>IF('1. Criteria &amp; Spec Matrix'!E275='3. Dropdowns'!C369,"Hide","Show")</f>
        <v>Show</v>
      </c>
      <c r="F1246" s="116"/>
      <c r="G1246" s="70" t="str">
        <f>CHAR(97+COUNTIF($C$1241:C1245,"Show")) &amp; "."</f>
        <v>f.</v>
      </c>
      <c r="H1246" s="75" t="s">
        <v>1460</v>
      </c>
    </row>
    <row r="1247" spans="2:8" ht="30" hidden="1" outlineLevel="2">
      <c r="B1247" s="16" t="s">
        <v>1439</v>
      </c>
      <c r="C1247" s="2" t="str">
        <f>IF('1. Criteria &amp; Spec Matrix'!E276='3. Dropdowns'!C369,"Hide","Show")</f>
        <v>Show</v>
      </c>
      <c r="F1247" s="116"/>
      <c r="G1247" s="70" t="str">
        <f>CHAR(97+COUNTIF($C$1241:C1246,"Show")) &amp; "."</f>
        <v>g.</v>
      </c>
      <c r="H1247" s="75" t="s">
        <v>2628</v>
      </c>
    </row>
    <row r="1248" spans="2:8" hidden="1" outlineLevel="2">
      <c r="B1248" s="16" t="s">
        <v>1441</v>
      </c>
      <c r="C1248" s="2" t="str">
        <f>IF('1. Criteria &amp; Spec Matrix'!E278='3. Dropdowns'!C369,"Hide","Show")</f>
        <v>Show</v>
      </c>
      <c r="F1248" s="116"/>
      <c r="G1248" s="70" t="str">
        <f>CHAR(97+COUNTIF($C$1241:C1247,"Show")) &amp; "."</f>
        <v>h.</v>
      </c>
      <c r="H1248" s="75" t="s">
        <v>1461</v>
      </c>
    </row>
    <row r="1249" spans="2:8" ht="30" hidden="1" outlineLevel="2">
      <c r="B1249" s="16" t="s">
        <v>1441</v>
      </c>
      <c r="C1249" s="2" t="str">
        <f>C1248</f>
        <v>Show</v>
      </c>
      <c r="F1249" s="116"/>
      <c r="G1249" s="70" t="str">
        <f>CHAR(97+COUNTIF($C$1241:C1248,"Show")) &amp; "."</f>
        <v>i.</v>
      </c>
      <c r="H1249" s="75" t="s">
        <v>1472</v>
      </c>
    </row>
    <row r="1250" spans="2:8" hidden="1" outlineLevel="2">
      <c r="B1250" s="16" t="s">
        <v>1441</v>
      </c>
      <c r="C1250" s="2" t="str">
        <f>C1248</f>
        <v>Show</v>
      </c>
      <c r="F1250" s="116"/>
      <c r="G1250" s="70" t="str">
        <f>CHAR(97+COUNTIF($C$1241:C1249,"Show")) &amp; "."</f>
        <v>j.</v>
      </c>
      <c r="H1250" s="75" t="s">
        <v>1462</v>
      </c>
    </row>
    <row r="1251" spans="2:8" ht="30" hidden="1" outlineLevel="2">
      <c r="B1251" s="16" t="s">
        <v>1441</v>
      </c>
      <c r="C1251" s="2" t="str">
        <f>C1248</f>
        <v>Show</v>
      </c>
      <c r="F1251" s="116"/>
      <c r="G1251" s="70" t="str">
        <f>CHAR(97+COUNTIF($C$1241:C1250,"Show")) &amp; "."</f>
        <v>k.</v>
      </c>
      <c r="H1251" s="75" t="s">
        <v>1463</v>
      </c>
    </row>
    <row r="1252" spans="2:8" hidden="1" outlineLevel="2">
      <c r="B1252" s="12" t="s">
        <v>1488</v>
      </c>
      <c r="C1252" s="7" t="str">
        <f>IF(COUNTIF(C1253:C1255,"Show")&gt;0,"Show","Hide")</f>
        <v>Show</v>
      </c>
      <c r="F1252" s="121" t="str">
        <f>(2+COUNTIF(C1193,"Show")+COUNTIF(C1196,"Show")+COUNTIF(C1198,"Show")+COUNTIF(C1205,"Show")+COUNTIF(C1207,"Show")+COUNTIF(C1209,"Show")+COUNTIF(C1214,"Show")+COUNTIF(C1217,"Show")+COUNTIF(C1224,"Show")+COUNTIF(C1229,"Show")+COUNTIF(C1236,"Show")+COUNTIF(C1240,"Show")) &amp; "."</f>
        <v>14.</v>
      </c>
      <c r="G1252" s="71" t="s">
        <v>1487</v>
      </c>
    </row>
    <row r="1253" spans="2:8" ht="30" hidden="1" outlineLevel="2">
      <c r="B1253" s="16" t="s">
        <v>1481</v>
      </c>
      <c r="C1253" s="2" t="str">
        <f>IF('1. Criteria &amp; Spec Matrix'!E283='3. Dropdowns'!C364,"Hide",IF(AND('1. Criteria &amp; Spec Matrix'!C285="Show",'1. Criteria &amp; Spec Matrix'!E284='3. Dropdowns'!C369),"Hide","Show"))</f>
        <v>Show</v>
      </c>
      <c r="F1253" s="116"/>
      <c r="G1253" s="70" t="s">
        <v>133</v>
      </c>
      <c r="H1253" s="75" t="s">
        <v>2667</v>
      </c>
    </row>
    <row r="1254" spans="2:8" ht="15" hidden="1" customHeight="1" outlineLevel="2">
      <c r="B1254" s="16" t="s">
        <v>1482</v>
      </c>
      <c r="C1254" s="2" t="str">
        <f>IF('1. Criteria &amp; Spec Matrix'!E283='3. Dropdowns'!C364,"Hide",IF(AND('1. Criteria &amp; Spec Matrix'!C286="Show",'1. Criteria &amp; Spec Matrix'!E284='3. Dropdowns'!C369),"Hide","Show"))</f>
        <v>Show</v>
      </c>
      <c r="F1254" s="116"/>
      <c r="G1254" s="70" t="str">
        <f>CHAR(97+COUNTIF($C$1253:C1253,"Show")) &amp; "."</f>
        <v>b.</v>
      </c>
      <c r="H1254" s="75" t="s">
        <v>1492</v>
      </c>
    </row>
    <row r="1255" spans="2:8" ht="30" hidden="1" outlineLevel="2">
      <c r="B1255" s="16" t="s">
        <v>1484</v>
      </c>
      <c r="C1255" s="2" t="str">
        <f>IF('1. Criteria &amp; Spec Matrix'!E283='3. Dropdowns'!C364,"Hide",IF(AND('1. Criteria &amp; Spec Matrix'!C288="Show",'1. Criteria &amp; Spec Matrix'!E284='3. Dropdowns'!C369),"Hide","Show"))</f>
        <v>Show</v>
      </c>
      <c r="F1255" s="116"/>
      <c r="G1255" s="70" t="str">
        <f>CHAR(97+COUNTIF($C$1253:C1254,"Show")) &amp; "."</f>
        <v>c.</v>
      </c>
      <c r="H1255" s="75" t="s">
        <v>1493</v>
      </c>
    </row>
    <row r="1256" spans="2:8" hidden="1" outlineLevel="2">
      <c r="B1256" s="12" t="s">
        <v>1506</v>
      </c>
      <c r="C1256" s="7" t="str">
        <f>IF(COUNTIF(C1257:C1258,"Show")&gt;0,"Show","Hide")</f>
        <v>Show</v>
      </c>
      <c r="F1256" s="121" t="str">
        <f>(2+COUNTIF(C1193,"Show")+COUNTIF(C1196,"Show")+COUNTIF(C1198,"Show")+COUNTIF(C1205,"Show")+COUNTIF(C1207,"Show")+COUNTIF(C1209,"Show")+COUNTIF(C1214,"Show")+COUNTIF(C1217,"Show")+COUNTIF(C1224,"Show")+COUNTIF(C1229,"Show")+COUNTIF(C1236,"Show")+COUNTIF(C1240,"Show")+COUNTIF(C1252,"Show")) &amp; "."</f>
        <v>15.</v>
      </c>
      <c r="G1256" s="71" t="s">
        <v>2953</v>
      </c>
      <c r="H1256" s="117"/>
    </row>
    <row r="1257" spans="2:8" ht="45" hidden="1" outlineLevel="2">
      <c r="B1257" s="12" t="s">
        <v>1507</v>
      </c>
      <c r="C1257" s="2" t="str">
        <f>IF(OR('1. Criteria &amp; Spec Matrix'!E293='3. Dropdowns'!C371,'1. Criteria &amp; Spec Matrix'!E293='3. Dropdowns'!C374,'1. Criteria &amp; Spec Matrix'!E293='3. Dropdowns'!C375,'1. Criteria &amp; Spec Matrix'!E293='3. Dropdowns'!C377,,'1. Criteria &amp; Spec Matrix'!E293=""),"Show","Hide")</f>
        <v>Show</v>
      </c>
      <c r="F1257" s="116"/>
      <c r="G1257" s="70" t="s">
        <v>133</v>
      </c>
      <c r="H1257" s="117" t="s">
        <v>1511</v>
      </c>
    </row>
    <row r="1258" spans="2:8" ht="30" hidden="1" outlineLevel="2">
      <c r="B1258" s="12" t="s">
        <v>1508</v>
      </c>
      <c r="C1258" s="2" t="str">
        <f>IF(OR('1. Criteria &amp; Spec Matrix'!E293='3. Dropdowns'!C372,'1. Criteria &amp; Spec Matrix'!E293='3. Dropdowns'!C374,'1. Criteria &amp; Spec Matrix'!E293='3. Dropdowns'!C376,'1. Criteria &amp; Spec Matrix'!E293='3. Dropdowns'!C377,,'1. Criteria &amp; Spec Matrix'!E293=""),"Show","Hide")</f>
        <v>Show</v>
      </c>
      <c r="F1258" s="116"/>
      <c r="G1258" s="70" t="str">
        <f>CHAR(97+COUNTIF($C$1257:C1257,"Show")) &amp; "."</f>
        <v>b.</v>
      </c>
      <c r="H1258" s="117" t="s">
        <v>1512</v>
      </c>
    </row>
    <row r="1259" spans="2:8" hidden="1" outlineLevel="2">
      <c r="B1259" s="12" t="s">
        <v>1522</v>
      </c>
      <c r="C1259" s="7" t="str">
        <f>IF(COUNTIF(C1260:C1261,"Show")&gt;0,"Show","Hide")</f>
        <v>Show</v>
      </c>
      <c r="F1259" s="121" t="str">
        <f>(2+COUNTIF(C1193,"Show")+COUNTIF(C1196,"Show")+COUNTIF(C1198,"Show")+COUNTIF(C1205,"Show")+COUNTIF(C1207,"Show")+COUNTIF(C1209,"Show")+COUNTIF(C1214,"Show")+COUNTIF(C1217,"Show")+COUNTIF(C1224,"Show")+COUNTIF(C1229,"Show")+COUNTIF(C1236,"Show")+COUNTIF(C1240,"Show")+COUNTIF(C1252,"Show")+COUNTIF(C1256,"Show")) &amp; "."</f>
        <v>16.</v>
      </c>
      <c r="G1259" s="12" t="s">
        <v>1519</v>
      </c>
      <c r="H1259" s="117"/>
    </row>
    <row r="1260" spans="2:8" ht="30" hidden="1" outlineLevel="2">
      <c r="B1260" s="12" t="s">
        <v>1522</v>
      </c>
      <c r="C1260" s="2" t="str">
        <f>IF(OR('1. Criteria &amp; Spec Matrix'!E294='3. Dropdowns'!C379,'1. Criteria &amp; Spec Matrix'!E294='3. Dropdowns'!C380,'1. Criteria &amp; Spec Matrix'!E294='3. Dropdowns'!C381,'1. Criteria &amp; Spec Matrix'!E294=""),"Show","Hide")</f>
        <v>Show</v>
      </c>
      <c r="F1260" s="116"/>
      <c r="G1260" s="70" t="s">
        <v>133</v>
      </c>
      <c r="H1260" s="117" t="s">
        <v>1530</v>
      </c>
    </row>
    <row r="1261" spans="2:8" ht="30" hidden="1" outlineLevel="2">
      <c r="B1261" s="12" t="s">
        <v>1524</v>
      </c>
      <c r="C1261" s="2" t="str">
        <f>IF(OR('1. Criteria &amp; Spec Matrix'!E294="",'1. Criteria &amp; Spec Matrix'!E294='3. Dropdowns'!C379),"Show","Hide")</f>
        <v>Show</v>
      </c>
      <c r="F1261" s="116"/>
      <c r="G1261" s="70" t="str">
        <f>CHAR(97+COUNTIF($C$1260:C1260,"Show")) &amp; "."</f>
        <v>b.</v>
      </c>
      <c r="H1261" s="117" t="s">
        <v>1531</v>
      </c>
    </row>
    <row r="1262" spans="2:8" hidden="1" outlineLevel="2">
      <c r="B1262" s="12"/>
      <c r="C1262" s="73" t="s">
        <v>1010</v>
      </c>
    </row>
    <row r="1263" spans="2:8" outlineLevel="1" collapsed="1">
      <c r="B1263" s="12"/>
      <c r="C1263" s="73" t="s">
        <v>1010</v>
      </c>
      <c r="D1263" s="102" t="s">
        <v>187</v>
      </c>
      <c r="E1263" s="98"/>
      <c r="F1263" s="98"/>
      <c r="G1263" s="98"/>
      <c r="H1263" s="99"/>
    </row>
    <row r="1264" spans="2:8" hidden="1" outlineLevel="2">
      <c r="B1264" s="12"/>
      <c r="C1264" s="73" t="s">
        <v>1010</v>
      </c>
      <c r="D1264" s="11">
        <v>3.1</v>
      </c>
      <c r="E1264" s="11" t="s">
        <v>615</v>
      </c>
      <c r="H1264" s="103"/>
    </row>
    <row r="1265" spans="2:8" ht="93.95" hidden="1" customHeight="1" outlineLevel="2">
      <c r="B1265" s="12"/>
      <c r="C1265" s="73" t="s">
        <v>1010</v>
      </c>
      <c r="E1265" s="70" t="s">
        <v>119</v>
      </c>
      <c r="H1265" s="106" t="s">
        <v>2650</v>
      </c>
    </row>
    <row r="1266" spans="2:8" hidden="1" outlineLevel="2">
      <c r="B1266" s="12"/>
      <c r="C1266" s="73" t="s">
        <v>1010</v>
      </c>
      <c r="D1266" s="11">
        <v>3.2</v>
      </c>
      <c r="E1266" s="11" t="s">
        <v>616</v>
      </c>
      <c r="H1266" s="103"/>
    </row>
    <row r="1267" spans="2:8" hidden="1" outlineLevel="2">
      <c r="B1267" s="76" t="s">
        <v>2457</v>
      </c>
      <c r="C1267" s="7" t="str">
        <f>IF(COUNTIF(C1268:C1296,"Show")&gt;0,"Show","Hide")</f>
        <v>Show</v>
      </c>
      <c r="E1267" s="104" t="s">
        <v>119</v>
      </c>
      <c r="F1267" s="11" t="s">
        <v>132</v>
      </c>
      <c r="H1267" s="103"/>
    </row>
    <row r="1268" spans="2:8" hidden="1" outlineLevel="2">
      <c r="B1268" s="76" t="s">
        <v>3026</v>
      </c>
      <c r="C1268" s="7" t="str">
        <f>IF(OR('1. Criteria &amp; Spec Matrix'!E22='3. Dropdowns'!C46,'1. Criteria &amp; Spec Matrix'!E22=""),"Show","Hide")</f>
        <v>Show</v>
      </c>
      <c r="E1268" s="104"/>
      <c r="F1268" s="78" t="s">
        <v>121</v>
      </c>
      <c r="G1268" s="11" t="s">
        <v>2440</v>
      </c>
      <c r="H1268" s="103"/>
    </row>
    <row r="1269" spans="2:8" ht="30" hidden="1" outlineLevel="2">
      <c r="B1269" s="76" t="s">
        <v>3026</v>
      </c>
      <c r="C1269" s="7" t="str">
        <f>C1268</f>
        <v>Show</v>
      </c>
      <c r="E1269" s="104"/>
      <c r="G1269" s="70" t="s">
        <v>133</v>
      </c>
      <c r="H1269" s="103" t="s">
        <v>3027</v>
      </c>
    </row>
    <row r="1270" spans="2:8" ht="30" hidden="1" outlineLevel="2">
      <c r="B1270" s="76" t="s">
        <v>3026</v>
      </c>
      <c r="C1270" s="7" t="str">
        <f>C1268</f>
        <v>Show</v>
      </c>
      <c r="E1270" s="104"/>
      <c r="G1270" s="70" t="s">
        <v>134</v>
      </c>
      <c r="H1270" s="103" t="s">
        <v>3028</v>
      </c>
    </row>
    <row r="1271" spans="2:8" hidden="1" outlineLevel="2">
      <c r="B1271" s="12" t="s">
        <v>407</v>
      </c>
      <c r="C1271" s="9" t="str">
        <f>IF(OR('1. Criteria &amp; Spec Matrix'!D5='3. Dropdowns'!C8,'1. Criteria &amp; Spec Matrix'!D5='3. Dropdowns'!C9,'1. Criteria &amp; Spec Matrix'!F5='3. Dropdowns'!C11),"Hide","Show")</f>
        <v>Show</v>
      </c>
      <c r="E1271" s="104"/>
      <c r="F1271" s="78" t="str">
        <f>(1+COUNTIF(C1268,"Show"))&amp;"."</f>
        <v>2.</v>
      </c>
      <c r="G1271" s="71" t="s">
        <v>2019</v>
      </c>
      <c r="H1271" s="106"/>
    </row>
    <row r="1272" spans="2:8" ht="45" hidden="1" outlineLevel="2">
      <c r="B1272" s="12" t="s">
        <v>407</v>
      </c>
      <c r="C1272" s="9" t="str">
        <f>C1271</f>
        <v>Show</v>
      </c>
      <c r="E1272" s="104"/>
      <c r="F1272" s="78"/>
      <c r="G1272" s="70" t="s">
        <v>133</v>
      </c>
      <c r="H1272" s="106" t="s">
        <v>2954</v>
      </c>
    </row>
    <row r="1273" spans="2:8" hidden="1" outlineLevel="2">
      <c r="B1273" s="12" t="s">
        <v>2026</v>
      </c>
      <c r="C1273" s="9" t="str">
        <f>IF(OR('1. Criteria &amp; Spec Matrix'!E26='3. Dropdowns'!C50,'1. Criteria &amp; Spec Matrix'!E26=""),"Show","Hide")</f>
        <v>Show</v>
      </c>
      <c r="E1273" s="104"/>
      <c r="F1273" s="78" t="str">
        <f>(1+COUNTIF(C1268,"Show")+COUNTIF(C1271,"Show")) &amp; "."</f>
        <v>3.</v>
      </c>
      <c r="G1273" s="71" t="s">
        <v>2024</v>
      </c>
      <c r="H1273" s="106"/>
    </row>
    <row r="1274" spans="2:8" ht="30" hidden="1" outlineLevel="2">
      <c r="B1274" s="12" t="s">
        <v>2026</v>
      </c>
      <c r="C1274" s="9" t="str">
        <f>IF(OR('1. Criteria &amp; Spec Matrix'!E26='3. Dropdowns'!C50,'1. Criteria &amp; Spec Matrix'!E26=""),"Show","Hide")</f>
        <v>Show</v>
      </c>
      <c r="E1274" s="104"/>
      <c r="F1274" s="78"/>
      <c r="G1274" s="70" t="s">
        <v>133</v>
      </c>
      <c r="H1274" s="106" t="s">
        <v>2025</v>
      </c>
    </row>
    <row r="1275" spans="2:8" hidden="1" outlineLevel="2">
      <c r="B1275" s="12" t="s">
        <v>2051</v>
      </c>
      <c r="C1275" s="7" t="str">
        <f>IF(COUNTIF(C1276:C1287,"Show")&gt;0,"Show","Hide")</f>
        <v>Show</v>
      </c>
      <c r="E1275" s="104"/>
      <c r="F1275" s="78" t="str">
        <f>(1+COUNTIF(C1268,"Show")+COUNTIF(C1271,"Show")+COUNTIF(C1273,"Show")) &amp; "."</f>
        <v>4.</v>
      </c>
      <c r="G1275" s="71" t="s">
        <v>2044</v>
      </c>
      <c r="H1275" s="106"/>
    </row>
    <row r="1276" spans="2:8" ht="30" hidden="1" outlineLevel="2">
      <c r="B1276" s="12" t="s">
        <v>2057</v>
      </c>
      <c r="C1276" s="9" t="str">
        <f>IF('1. Criteria &amp; Spec Matrix'!E28='3. Dropdowns'!C59,"Show",
IF(AND('1. Criteria &amp; Spec Matrix'!C28="Show",'1. Criteria &amp; Spec Matrix'!E28=""),"Show","Hide"))</f>
        <v>Show</v>
      </c>
      <c r="E1276" s="104"/>
      <c r="F1276" s="78"/>
      <c r="G1276" s="70" t="s">
        <v>133</v>
      </c>
      <c r="H1276" s="106" t="s">
        <v>2045</v>
      </c>
    </row>
    <row r="1277" spans="2:8" ht="30" hidden="1" outlineLevel="2">
      <c r="B1277" s="12" t="s">
        <v>2058</v>
      </c>
      <c r="C1277" s="9" t="str">
        <f>IF('1. Criteria &amp; Spec Matrix'!E29='3. Dropdowns'!C59,"Show",
IF(AND('1. Criteria &amp; Spec Matrix'!C29="Show",'1. Criteria &amp; Spec Matrix'!E29=""),"Show","Hide"))</f>
        <v>Show</v>
      </c>
      <c r="E1277" s="104"/>
      <c r="F1277" s="78"/>
      <c r="G1277" s="70" t="str">
        <f>CHAR(97+COUNTIF($C$1276:C1276,"Show")) &amp; "."</f>
        <v>b.</v>
      </c>
      <c r="H1277" s="106" t="s">
        <v>2046</v>
      </c>
    </row>
    <row r="1278" spans="2:8" ht="45" hidden="1" outlineLevel="2">
      <c r="B1278" s="12" t="s">
        <v>2059</v>
      </c>
      <c r="C1278" s="9" t="str">
        <f>IF('1. Criteria &amp; Spec Matrix'!E30='3. Dropdowns'!C59,"Show",
IF(AND('1. Criteria &amp; Spec Matrix'!C30="Show",'1. Criteria &amp; Spec Matrix'!E30=""),"Show","Hide"))</f>
        <v>Show</v>
      </c>
      <c r="E1278" s="104"/>
      <c r="F1278" s="78"/>
      <c r="G1278" s="70" t="str">
        <f>CHAR(97+COUNTIF($C$1276:C1277,"Show")) &amp; "."</f>
        <v>c.</v>
      </c>
      <c r="H1278" s="106" t="s">
        <v>2047</v>
      </c>
    </row>
    <row r="1279" spans="2:8" hidden="1" outlineLevel="2">
      <c r="B1279" s="12" t="s">
        <v>2060</v>
      </c>
      <c r="C1279" s="9" t="str">
        <f>IF('1. Criteria &amp; Spec Matrix'!E31='3. Dropdowns'!C59,"Show",
IF(AND('1. Criteria &amp; Spec Matrix'!C31="Show",'1. Criteria &amp; Spec Matrix'!E31=""),"Show","Hide"))</f>
        <v>Show</v>
      </c>
      <c r="E1279" s="104"/>
      <c r="F1279" s="78"/>
      <c r="G1279" s="70" t="str">
        <f>CHAR(97+COUNTIF($C$1276:C1278,"Show")) &amp; "."</f>
        <v>d.</v>
      </c>
      <c r="H1279" s="106" t="s">
        <v>2048</v>
      </c>
    </row>
    <row r="1280" spans="2:8" ht="45" hidden="1" outlineLevel="2">
      <c r="B1280" s="12" t="s">
        <v>2061</v>
      </c>
      <c r="C1280" s="9" t="str">
        <f>IF('1. Criteria &amp; Spec Matrix'!E32='3. Dropdowns'!C59,"Show",
IF(AND('1. Criteria &amp; Spec Matrix'!C32="Show",'1. Criteria &amp; Spec Matrix'!E32=""),"Show","Hide"))</f>
        <v>Show</v>
      </c>
      <c r="E1280" s="104"/>
      <c r="F1280" s="78"/>
      <c r="G1280" s="70" t="str">
        <f>CHAR(97+COUNTIF($C$1276:C1279,"Show")) &amp; "."</f>
        <v>e.</v>
      </c>
      <c r="H1280" s="106" t="s">
        <v>2050</v>
      </c>
    </row>
    <row r="1281" spans="2:8" hidden="1" outlineLevel="2">
      <c r="B1281" s="12" t="s">
        <v>2061</v>
      </c>
      <c r="C1281" s="9" t="str">
        <f>C1280</f>
        <v>Show</v>
      </c>
      <c r="E1281" s="104"/>
      <c r="F1281" s="78"/>
      <c r="G1281" s="70"/>
      <c r="H1281" s="106" t="str">
        <f>IF('1. Criteria &amp; Spec Matrix'!E33="","- Contractor may select features.",'1. Criteria &amp; Spec Matrix'!E33)</f>
        <v>- Contractor may select features.</v>
      </c>
    </row>
    <row r="1282" spans="2:8" ht="30" hidden="1" outlineLevel="2">
      <c r="B1282" s="12" t="s">
        <v>2062</v>
      </c>
      <c r="C1282" s="9" t="str">
        <f>IF('1. Criteria &amp; Spec Matrix'!E34='3. Dropdowns'!C59,"Show",
IF(AND('1. Criteria &amp; Spec Matrix'!C34="Show",'1. Criteria &amp; Spec Matrix'!E34=""),"Show","Hide"))</f>
        <v>Show</v>
      </c>
      <c r="E1282" s="104"/>
      <c r="F1282" s="78"/>
      <c r="G1282" s="70" t="str">
        <f>CHAR(96+COUNTIF($C$1276:C1281,"Show")) &amp; "."</f>
        <v>f.</v>
      </c>
      <c r="H1282" s="106" t="s">
        <v>2955</v>
      </c>
    </row>
    <row r="1283" spans="2:8" hidden="1" outlineLevel="2">
      <c r="B1283" s="12" t="s">
        <v>2062</v>
      </c>
      <c r="C1283" s="9" t="str">
        <f>C1282</f>
        <v>Show</v>
      </c>
      <c r="E1283" s="104"/>
      <c r="F1283" s="78"/>
      <c r="G1283" s="70"/>
      <c r="H1283" s="130" t="s">
        <v>2052</v>
      </c>
    </row>
    <row r="1284" spans="2:8" hidden="1" outlineLevel="2">
      <c r="B1284" s="12" t="s">
        <v>2062</v>
      </c>
      <c r="C1284" s="9" t="str">
        <f>C1282</f>
        <v>Show</v>
      </c>
      <c r="E1284" s="104"/>
      <c r="F1284" s="78"/>
      <c r="G1284" s="70"/>
      <c r="H1284" s="130" t="s">
        <v>2053</v>
      </c>
    </row>
    <row r="1285" spans="2:8" ht="17.100000000000001" hidden="1" customHeight="1" outlineLevel="2">
      <c r="B1285" s="12" t="s">
        <v>2062</v>
      </c>
      <c r="C1285" s="9" t="str">
        <f>C1282</f>
        <v>Show</v>
      </c>
      <c r="E1285" s="104"/>
      <c r="F1285" s="78"/>
      <c r="G1285" s="70"/>
      <c r="H1285" s="130" t="s">
        <v>2054</v>
      </c>
    </row>
    <row r="1286" spans="2:8" ht="30" hidden="1" outlineLevel="2">
      <c r="B1286" s="12" t="s">
        <v>2062</v>
      </c>
      <c r="C1286" s="9" t="str">
        <f>C1282</f>
        <v>Show</v>
      </c>
      <c r="E1286" s="104"/>
      <c r="F1286" s="78"/>
      <c r="G1286" s="70"/>
      <c r="H1286" s="130" t="s">
        <v>2055</v>
      </c>
    </row>
    <row r="1287" spans="2:8" hidden="1" outlineLevel="2">
      <c r="B1287" s="12" t="s">
        <v>2062</v>
      </c>
      <c r="C1287" s="9" t="str">
        <f>C1282</f>
        <v>Show</v>
      </c>
      <c r="E1287" s="104"/>
      <c r="F1287" s="78"/>
      <c r="G1287" s="70"/>
      <c r="H1287" s="130" t="s">
        <v>2056</v>
      </c>
    </row>
    <row r="1288" spans="2:8" hidden="1" outlineLevel="2">
      <c r="B1288" s="12" t="s">
        <v>2486</v>
      </c>
      <c r="C1288" s="7" t="str">
        <f>IF(COUNTIF(C1289:C1294,"Show")&gt;0,"Show","Hide")</f>
        <v>Show</v>
      </c>
      <c r="F1288" s="78" t="str">
        <f>(1+COUNTIF(C1268,"Show")+COUNTIF(C1271,"Show")+COUNTIF(C1273,"Show")+COUNTIF(C1275,"Show")) &amp; "."</f>
        <v>5.</v>
      </c>
      <c r="G1288" s="11" t="s">
        <v>2487</v>
      </c>
      <c r="H1288" s="103"/>
    </row>
    <row r="1289" spans="2:8" ht="32.1" hidden="1" customHeight="1" outlineLevel="2">
      <c r="B1289" s="12" t="s">
        <v>401</v>
      </c>
      <c r="C1289" s="9" t="str">
        <f>IF('1. Criteria &amp; Spec Matrix'!E38='3. Dropdowns'!C64,"Show",IF('1. Criteria &amp; Spec Matrix'!E38="","Show","Hide"))</f>
        <v>Show</v>
      </c>
      <c r="G1289" s="70" t="s">
        <v>133</v>
      </c>
      <c r="H1289" s="106" t="s">
        <v>190</v>
      </c>
    </row>
    <row r="1290" spans="2:8" ht="45" hidden="1" outlineLevel="2">
      <c r="B1290" s="12" t="s">
        <v>2489</v>
      </c>
      <c r="C1290" s="9" t="str">
        <f>IF(AND(OR('1. Criteria &amp; Spec Matrix'!D7='3. Dropdowns'!C18,'1. Criteria &amp; Spec Matrix'!D7='3. Dropdowns'!C19,'1. Criteria &amp; Spec Matrix'!D7='3. Dropdowns'!C20),'1. Criteria &amp; Spec Matrix'!E38='3. Dropdowns'!C63,'1. Criteria &amp; Spec Matrix'!E37='3. Dropdowns'!C61),"Show",
IF(OR('1. Criteria &amp; Spec Matrix'!E37="",'1. Criteria &amp; Spec Matrix'!E38=""),"Show","Hide"))</f>
        <v>Show</v>
      </c>
      <c r="G1290" s="70" t="str">
        <f>CHAR(97+COUNTIF($C1289:C$1289,"Show")) &amp; "."</f>
        <v>b.</v>
      </c>
      <c r="H1290" s="106" t="s">
        <v>2488</v>
      </c>
    </row>
    <row r="1291" spans="2:8" ht="30" hidden="1" outlineLevel="2">
      <c r="B1291" s="12" t="s">
        <v>399</v>
      </c>
      <c r="C1291" s="9" t="str">
        <f>IF(AND(OR('1. Criteria &amp; Spec Matrix'!D7='3. Dropdowns'!C18,'1. Criteria &amp; Spec Matrix'!D7='3. Dropdowns'!C19,'1. Criteria &amp; Spec Matrix'!D7='3. Dropdowns'!C20),'1. Criteria &amp; Spec Matrix'!E38='3. Dropdowns'!C63,'1. Criteria &amp; Spec Matrix'!E37='3. Dropdowns'!C62),"Show",
IF(OR('1. Criteria &amp; Spec Matrix'!E37="",'1. Criteria &amp; Spec Matrix'!E38=""),"Show","Hide"))</f>
        <v>Show</v>
      </c>
      <c r="G1291" s="70" t="str">
        <f>CHAR(97+COUNTIF($C$1289:C1290,"Show")) &amp; "."</f>
        <v>c.</v>
      </c>
      <c r="H1291" s="106" t="s">
        <v>188</v>
      </c>
    </row>
    <row r="1292" spans="2:8" ht="30" hidden="1" outlineLevel="2">
      <c r="B1292" s="12" t="s">
        <v>399</v>
      </c>
      <c r="C1292" s="9" t="str">
        <f>C1291</f>
        <v>Show</v>
      </c>
      <c r="G1292" s="70" t="str">
        <f>CHAR(97+COUNTIF($C$1289:C1291,"Show")) &amp; "."</f>
        <v>d.</v>
      </c>
      <c r="H1292" s="106" t="s">
        <v>189</v>
      </c>
    </row>
    <row r="1293" spans="2:8" hidden="1" outlineLevel="2">
      <c r="B1293" s="12" t="s">
        <v>2490</v>
      </c>
      <c r="C1293" s="9" t="str">
        <f>IF(AND(OR('1. Criteria &amp; Spec Matrix'!D7='3. Dropdowns'!C18,'1. Criteria &amp; Spec Matrix'!D7='3. Dropdowns'!C19,'1. Criteria &amp; Spec Matrix'!D7='3. Dropdowns'!C20),'1. Criteria &amp; Spec Matrix'!E38='3. Dropdowns'!C63,'1. Criteria &amp; Spec Matrix'!E37='3. Dropdowns'!C62,'1. Criteria &amp; Spec Matrix'!D5='3. Dropdowns'!C9),"Show",
IF(OR('1. Criteria &amp; Spec Matrix'!E37="",'1. Criteria &amp; Spec Matrix'!E38=""),"Show","Hide"))</f>
        <v>Show</v>
      </c>
      <c r="G1293" s="70"/>
      <c r="H1293" s="130" t="s">
        <v>3084</v>
      </c>
    </row>
    <row r="1294" spans="2:8" ht="30" hidden="1" outlineLevel="2">
      <c r="B1294" s="12" t="s">
        <v>400</v>
      </c>
      <c r="C1294" s="9" t="str">
        <f>IF(AND(OR('1. Criteria &amp; Spec Matrix'!D7='3. Dropdowns'!C18,'1. Criteria &amp; Spec Matrix'!D7='3. Dropdowns'!C19,'1. Criteria &amp; Spec Matrix'!D7='3. Dropdowns'!C20),'1. Criteria &amp; Spec Matrix'!E38='3. Dropdowns'!C63,'1. Criteria &amp; Spec Matrix'!E37='3. Dropdowns'!C62,OR('1. Criteria &amp; Spec Matrix'!D5='3. Dropdowns'!C7,'1. Criteria &amp; Spec Matrix'!D5='3. Dropdowns'!C8)),"Show",
IF(OR('1. Criteria &amp; Spec Matrix'!E37="",'1. Criteria &amp; Spec Matrix'!E38=""),"Show","Hide"))</f>
        <v>Show</v>
      </c>
      <c r="G1294" s="70"/>
      <c r="H1294" s="130" t="s">
        <v>3085</v>
      </c>
    </row>
    <row r="1295" spans="2:8" hidden="1" outlineLevel="2">
      <c r="B1295" s="12" t="s">
        <v>2065</v>
      </c>
      <c r="C1295" s="9" t="str">
        <f>IF(OR('1. Criteria &amp; Spec Matrix'!E39='3. Dropdowns'!C66,'1. Criteria &amp; Spec Matrix'!E39=""),"Show","Hide")</f>
        <v>Show</v>
      </c>
      <c r="F1295" s="78" t="str">
        <f>(1+COUNTIF(C1268,"Show")+COUNTIF(C1271,"Show")+COUNTIF(C1273,"Show")+COUNTIF(C1275,"Show")+COUNTIF(C1288,"Show")) &amp; "."</f>
        <v>6.</v>
      </c>
      <c r="G1295" s="71" t="s">
        <v>2063</v>
      </c>
      <c r="H1295" s="106"/>
    </row>
    <row r="1296" spans="2:8" ht="45" hidden="1" outlineLevel="2">
      <c r="B1296" s="12" t="s">
        <v>2065</v>
      </c>
      <c r="C1296" s="9" t="str">
        <f>C1295</f>
        <v>Show</v>
      </c>
      <c r="G1296" s="70" t="s">
        <v>133</v>
      </c>
      <c r="H1296" s="106" t="s">
        <v>2064</v>
      </c>
    </row>
    <row r="1297" spans="2:8" hidden="1" outlineLevel="2">
      <c r="B1297" s="76"/>
      <c r="C1297" s="7" t="s">
        <v>116</v>
      </c>
      <c r="E1297" s="104" t="str">
        <f>CHAR(65+ COUNTIF(C1267,"Show")) &amp; "."</f>
        <v>B.</v>
      </c>
      <c r="F1297" s="11" t="s">
        <v>136</v>
      </c>
      <c r="H1297" s="106"/>
    </row>
    <row r="1298" spans="2:8" hidden="1" outlineLevel="2">
      <c r="B1298" s="76"/>
      <c r="C1298" s="7" t="s">
        <v>116</v>
      </c>
      <c r="F1298" s="78" t="s">
        <v>121</v>
      </c>
      <c r="G1298" s="12" t="s">
        <v>2442</v>
      </c>
      <c r="H1298" s="106"/>
    </row>
    <row r="1299" spans="2:8" ht="210.95" hidden="1" customHeight="1" outlineLevel="2">
      <c r="B1299" s="12" t="s">
        <v>402</v>
      </c>
      <c r="C1299" s="9" t="str">
        <f>IF(OR('1. Criteria &amp; Spec Matrix'!E41="",'1. Criteria &amp; Spec Matrix'!E41='3. Dropdowns'!C67),"Show","Hide")</f>
        <v>Show</v>
      </c>
      <c r="G1299" s="70" t="s">
        <v>133</v>
      </c>
      <c r="H1299" s="106" t="s">
        <v>2652</v>
      </c>
    </row>
    <row r="1300" spans="2:8" ht="45" hidden="1" outlineLevel="2">
      <c r="B1300" s="12" t="s">
        <v>489</v>
      </c>
      <c r="C1300" s="9" t="str">
        <f>IF(OR('1. Criteria &amp; Spec Matrix'!E41="",'1. Criteria &amp; Spec Matrix'!E41='3. Dropdowns'!C68),"Show","Hide")</f>
        <v>Show</v>
      </c>
      <c r="G1300" s="70" t="str">
        <f>CHAR(97+COUNTIF($C$1299:C1299,"Show")) &amp; "."</f>
        <v>b.</v>
      </c>
      <c r="H1300" s="106" t="s">
        <v>2651</v>
      </c>
    </row>
    <row r="1301" spans="2:8" ht="33" hidden="1" customHeight="1" outlineLevel="2">
      <c r="B1301" s="76"/>
      <c r="C1301" s="7" t="s">
        <v>116</v>
      </c>
      <c r="G1301" s="70" t="str">
        <f>CHAR(97+COUNTIF($C$1299:C1300,"Show")) &amp; "."</f>
        <v>c.</v>
      </c>
      <c r="H1301" s="106" t="s">
        <v>191</v>
      </c>
    </row>
    <row r="1302" spans="2:8" hidden="1" outlineLevel="2">
      <c r="B1302" s="76"/>
      <c r="C1302" s="7" t="s">
        <v>116</v>
      </c>
      <c r="F1302" s="78" t="s">
        <v>123</v>
      </c>
      <c r="G1302" s="71" t="s">
        <v>2441</v>
      </c>
      <c r="H1302" s="106"/>
    </row>
    <row r="1303" spans="2:8" ht="45" hidden="1" outlineLevel="2">
      <c r="B1303" s="76"/>
      <c r="C1303" s="7" t="s">
        <v>116</v>
      </c>
      <c r="F1303" s="78"/>
      <c r="G1303" s="70" t="s">
        <v>133</v>
      </c>
      <c r="H1303" s="106" t="s">
        <v>2491</v>
      </c>
    </row>
    <row r="1304" spans="2:8" hidden="1" outlineLevel="2">
      <c r="B1304" s="76" t="s">
        <v>2423</v>
      </c>
      <c r="C1304" s="7" t="str">
        <f>IF(COUNTIF(C1306:C1312,"Show")&gt;0,"Show","Hide")</f>
        <v>Show</v>
      </c>
      <c r="F1304" s="78" t="s">
        <v>126</v>
      </c>
      <c r="G1304" s="71" t="s">
        <v>2443</v>
      </c>
      <c r="H1304" s="28"/>
    </row>
    <row r="1305" spans="2:8" ht="45" hidden="1" outlineLevel="2">
      <c r="B1305" s="76" t="str">
        <f>B1304</f>
        <v>Show if scope includes exterior lighting.</v>
      </c>
      <c r="C1305" s="7" t="str">
        <f>C1304</f>
        <v>Show</v>
      </c>
      <c r="F1305" s="78"/>
      <c r="G1305" s="71"/>
      <c r="H1305" s="153" t="s">
        <v>2581</v>
      </c>
    </row>
    <row r="1306" spans="2:8" ht="105.95" hidden="1" customHeight="1" outlineLevel="2">
      <c r="B1306" s="12" t="s">
        <v>2492</v>
      </c>
      <c r="C1306" s="9" t="str">
        <f>IF(AND('1. Criteria &amp; Spec Matrix'!E44='3. Dropdowns'!C73,'1. Criteria &amp; Spec Matrix'!C44="Show"),"Show",
IF(AND('1. Criteria &amp; Spec Matrix'!C44="Show",'1. Criteria &amp; Spec Matrix'!E44=""),"Show","Hide"))</f>
        <v>Show</v>
      </c>
      <c r="F1306" s="78"/>
      <c r="G1306" s="70" t="s">
        <v>133</v>
      </c>
      <c r="H1306" s="28" t="s">
        <v>192</v>
      </c>
    </row>
    <row r="1307" spans="2:8" ht="242.1" hidden="1" customHeight="1" outlineLevel="2">
      <c r="B1307" s="12" t="s">
        <v>2493</v>
      </c>
      <c r="C1307" s="9" t="str">
        <f>IF(AND('1. Criteria &amp; Spec Matrix'!E44='3. Dropdowns'!C74,'1. Criteria &amp; Spec Matrix'!C44="Show"),"Show",
IF(AND('1. Criteria &amp; Spec Matrix'!C44="Show",'1. Criteria &amp; Spec Matrix'!E44=""),"Show","Hide"))</f>
        <v>Show</v>
      </c>
      <c r="F1307" s="78"/>
      <c r="G1307" s="70" t="str">
        <f>CHAR(97+COUNTIF($C$1306:C1306,"Show")) &amp; "."</f>
        <v>b.</v>
      </c>
      <c r="H1307" s="28" t="s">
        <v>193</v>
      </c>
    </row>
    <row r="1308" spans="2:8" ht="287.10000000000002" hidden="1" customHeight="1" outlineLevel="2">
      <c r="B1308" s="12" t="s">
        <v>2494</v>
      </c>
      <c r="C1308" s="10" t="str">
        <f>IF(AND('1. Criteria &amp; Spec Matrix'!E44='3. Dropdowns'!C75,'1. Criteria &amp; Spec Matrix'!C44="Show"),"Show",
IF(AND('1. Criteria &amp; Spec Matrix'!C44="Show",'1. Criteria &amp; Spec Matrix'!E44=""),"Show","Hide"))</f>
        <v>Show</v>
      </c>
      <c r="F1308" s="78"/>
      <c r="G1308" s="70" t="str">
        <f>CHAR(97+COUNTIF($C$1306:C1307,"Show")) &amp; "."</f>
        <v>c.</v>
      </c>
      <c r="H1308" s="28" t="s">
        <v>2668</v>
      </c>
    </row>
    <row r="1309" spans="2:8" ht="287.10000000000002" hidden="1" customHeight="1" outlineLevel="2">
      <c r="B1309" s="12" t="s">
        <v>2495</v>
      </c>
      <c r="C1309" s="10" t="str">
        <f>IF(AND('1. Criteria &amp; Spec Matrix'!E44='3. Dropdowns'!C76,'1. Criteria &amp; Spec Matrix'!C44="Show"),"Show",
IF(AND('1. Criteria &amp; Spec Matrix'!C44="Show",'1. Criteria &amp; Spec Matrix'!E44=""),"Show","Hide"))</f>
        <v>Show</v>
      </c>
      <c r="F1309" s="78"/>
      <c r="G1309" s="70" t="str">
        <f>CHAR(97+COUNTIF($C$1306:C1308,"Show")) &amp; "."</f>
        <v>d.</v>
      </c>
      <c r="H1309" s="28" t="s">
        <v>618</v>
      </c>
    </row>
    <row r="1310" spans="2:8" ht="285" hidden="1" customHeight="1" outlineLevel="2">
      <c r="B1310" s="12" t="s">
        <v>2496</v>
      </c>
      <c r="C1310" s="10" t="str">
        <f>IF(AND('1. Criteria &amp; Spec Matrix'!E44='3. Dropdowns'!C77,'1. Criteria &amp; Spec Matrix'!C44="Show"),"Show",
IF(AND('1. Criteria &amp; Spec Matrix'!C44="Show",'1. Criteria &amp; Spec Matrix'!E44=""),"Show","Hide"))</f>
        <v>Show</v>
      </c>
      <c r="F1310" s="78"/>
      <c r="G1310" s="70" t="str">
        <f>CHAR(97+COUNTIF($C$1306:C1309,"Show")) &amp; "."</f>
        <v>e.</v>
      </c>
      <c r="H1310" s="28" t="s">
        <v>870</v>
      </c>
    </row>
    <row r="1311" spans="2:8" ht="30" hidden="1" outlineLevel="2">
      <c r="B1311" s="76" t="s">
        <v>2426</v>
      </c>
      <c r="C1311" s="7" t="str">
        <f>IF(OR('1. Criteria &amp; Spec Matrix'!E43="",'1. Criteria &amp; Spec Matrix'!E43='3. Dropdowns'!C70),"Show","Hide")</f>
        <v>Show</v>
      </c>
      <c r="F1311" s="78"/>
      <c r="G1311" s="70" t="str">
        <f>CHAR(97+COUNTIF($C$1306:C1310,"Show")) &amp; "."</f>
        <v>f.</v>
      </c>
      <c r="H1311" s="28" t="s">
        <v>2497</v>
      </c>
    </row>
    <row r="1312" spans="2:8" ht="30" hidden="1" outlineLevel="2">
      <c r="B1312" s="76" t="s">
        <v>2427</v>
      </c>
      <c r="C1312" s="7" t="str">
        <f>IF(OR('1. Criteria &amp; Spec Matrix'!E43="",'1. Criteria &amp; Spec Matrix'!E43='3. Dropdowns'!C71),"Show","Hide")</f>
        <v>Show</v>
      </c>
      <c r="F1312" s="78"/>
      <c r="G1312" s="70" t="str">
        <f>CHAR(97+COUNTIF($C$1306:C1311,"Show")) &amp; "."</f>
        <v>g.</v>
      </c>
      <c r="H1312" s="28" t="s">
        <v>2498</v>
      </c>
    </row>
    <row r="1313" spans="2:8" hidden="1" outlineLevel="2">
      <c r="B1313" s="12" t="s">
        <v>2499</v>
      </c>
      <c r="C1313" s="2" t="str">
        <f>IF(OR('1. Criteria &amp; Spec Matrix'!E45='3. Dropdowns'!C79,'1. Criteria &amp; Spec Matrix'!E45='3. Dropdowns'!C80,'1. Criteria &amp; Spec Matrix'!E45='3. Dropdowns'!C81,'1. Criteria &amp; Spec Matrix'!E45=""),"Show","Hide")</f>
        <v>Show</v>
      </c>
      <c r="F1313" s="78" t="str">
        <f>(3+COUNTIF(C1304,"Show")) &amp; "."</f>
        <v>4.</v>
      </c>
      <c r="G1313" s="71" t="s">
        <v>2669</v>
      </c>
      <c r="H1313" s="28"/>
    </row>
    <row r="1314" spans="2:8" ht="30" hidden="1" outlineLevel="2">
      <c r="B1314" s="12" t="s">
        <v>2499</v>
      </c>
      <c r="C1314" s="2" t="str">
        <f>C1313</f>
        <v>Show</v>
      </c>
      <c r="F1314" s="78"/>
      <c r="G1314" s="70" t="s">
        <v>133</v>
      </c>
      <c r="H1314" s="28" t="s">
        <v>194</v>
      </c>
    </row>
    <row r="1315" spans="2:8" hidden="1" outlineLevel="2">
      <c r="B1315" s="12" t="s">
        <v>139</v>
      </c>
      <c r="C1315" s="9" t="str">
        <f>IF('1. Criteria &amp; Spec Matrix'!E46='3. Dropdowns'!C82,"Hide","Show")</f>
        <v>Show</v>
      </c>
      <c r="F1315" s="78" t="str">
        <f>(3+COUNTIF(C1304,"Show")+COUNTIF(C1313,"Show")) &amp; "."</f>
        <v>5.</v>
      </c>
      <c r="G1315" s="71" t="s">
        <v>2670</v>
      </c>
      <c r="H1315" s="28"/>
    </row>
    <row r="1316" spans="2:8" ht="45" hidden="1" outlineLevel="2">
      <c r="B1316" s="12" t="s">
        <v>139</v>
      </c>
      <c r="C1316" s="2" t="str">
        <f>C1315</f>
        <v>Show</v>
      </c>
      <c r="F1316" s="78"/>
      <c r="G1316" s="70" t="s">
        <v>133</v>
      </c>
      <c r="H1316" s="28" t="s">
        <v>195</v>
      </c>
    </row>
    <row r="1317" spans="2:8" hidden="1" outlineLevel="2">
      <c r="B1317" s="12" t="s">
        <v>139</v>
      </c>
      <c r="C1317" s="2" t="str">
        <f>C1315</f>
        <v>Show</v>
      </c>
      <c r="F1317" s="78"/>
      <c r="G1317" s="70" t="str">
        <f>CHAR(97+COUNTIF($C$1316:C1316,"Show")) &amp; "."</f>
        <v>b.</v>
      </c>
      <c r="H1317" s="28" t="s">
        <v>196</v>
      </c>
    </row>
    <row r="1318" spans="2:8" hidden="1" outlineLevel="2">
      <c r="B1318" s="12" t="s">
        <v>143</v>
      </c>
      <c r="C1318" s="9" t="str">
        <f>IF(OR('1. Criteria &amp; Spec Matrix'!E47='3. Dropdowns'!C86,'1. Criteria &amp; Spec Matrix'!E47='3. Dropdowns'!C87),"Hide","Show")</f>
        <v>Show</v>
      </c>
      <c r="F1318" s="78" t="str">
        <f>(3+COUNTIF(C1304,"Show")+COUNTIF(C1313,"Show")+COUNTIF(C1315,"Show")) &amp; "."</f>
        <v>6.</v>
      </c>
      <c r="G1318" s="71" t="s">
        <v>2275</v>
      </c>
      <c r="H1318" s="28"/>
    </row>
    <row r="1319" spans="2:8" ht="30" hidden="1" outlineLevel="2">
      <c r="B1319" s="12" t="s">
        <v>197</v>
      </c>
      <c r="C1319" s="9" t="str">
        <f>IF(OR('1. Criteria &amp; Spec Matrix'!E47='3. Dropdowns'!C88,'1. Criteria &amp; Spec Matrix'!E47=""),"Show","Hide")</f>
        <v>Show</v>
      </c>
      <c r="F1319" s="78"/>
      <c r="G1319" s="70" t="s">
        <v>133</v>
      </c>
      <c r="H1319" s="28" t="s">
        <v>198</v>
      </c>
    </row>
    <row r="1320" spans="2:8" hidden="1" outlineLevel="2">
      <c r="B1320" s="12" t="s">
        <v>199</v>
      </c>
      <c r="C1320" s="9" t="str">
        <f>IF(OR('1. Criteria &amp; Spec Matrix'!E47='3. Dropdowns'!C90,'1. Criteria &amp; Spec Matrix'!E47=""),"Show","Hide")</f>
        <v>Show</v>
      </c>
      <c r="F1320" s="78"/>
      <c r="G1320" s="70" t="str">
        <f>CHAR(97+COUNTIF($C$1319:C1319,"Show")) &amp; "."</f>
        <v>b.</v>
      </c>
      <c r="H1320" s="28" t="s">
        <v>200</v>
      </c>
    </row>
    <row r="1321" spans="2:8" hidden="1" outlineLevel="2">
      <c r="B1321" s="12" t="s">
        <v>201</v>
      </c>
      <c r="C1321" s="9" t="str">
        <f>IF(OR('1. Criteria &amp; Spec Matrix'!E47='3. Dropdowns'!C89,'1. Criteria &amp; Spec Matrix'!E47=""),"Show","Hide")</f>
        <v>Show</v>
      </c>
      <c r="F1321" s="78"/>
      <c r="G1321" s="70" t="str">
        <f>CHAR(97+COUNTIF($C$1319:C1320,"Show")) &amp; "."</f>
        <v>c.</v>
      </c>
      <c r="H1321" s="28" t="s">
        <v>202</v>
      </c>
    </row>
    <row r="1322" spans="2:8" hidden="1" outlineLevel="2">
      <c r="B1322" s="12" t="s">
        <v>2421</v>
      </c>
      <c r="C1322" s="7" t="str">
        <f>IF(COUNTIF(C1323:C1334,"Show")&gt;0,"Show","Hide")</f>
        <v>Show</v>
      </c>
      <c r="F1322" s="78" t="str">
        <f>(3+COUNTIF(C1304,"Show")+COUNTIF(C1313,"Show")+COUNTIF(C1315,"Show")+COUNTIF(C1318,"Show")) &amp; "."</f>
        <v>7.</v>
      </c>
      <c r="G1322" s="71" t="s">
        <v>2445</v>
      </c>
      <c r="H1322" s="28"/>
    </row>
    <row r="1323" spans="2:8" ht="45" hidden="1" outlineLevel="2">
      <c r="B1323" s="12" t="s">
        <v>203</v>
      </c>
      <c r="C1323" s="9" t="str">
        <f>IF(OR('1. Criteria &amp; Spec Matrix'!E49='3. Dropdowns'!C92),"Show",
IF(AND('1. Criteria &amp; Spec Matrix'!C49="Show",'1. Criteria &amp; Spec Matrix'!E49=""),"Show","Hide"))</f>
        <v>Show</v>
      </c>
      <c r="F1323" s="78"/>
      <c r="G1323" s="70" t="s">
        <v>133</v>
      </c>
      <c r="H1323" s="28" t="s">
        <v>2671</v>
      </c>
    </row>
    <row r="1324" spans="2:8" hidden="1" outlineLevel="2">
      <c r="B1324" s="12" t="s">
        <v>203</v>
      </c>
      <c r="C1324" s="9" t="str">
        <f>C1323</f>
        <v>Show</v>
      </c>
      <c r="F1324" s="78"/>
      <c r="G1324" s="70" t="str">
        <f>CHAR(97+COUNTIF($C$1323:C1323,"Show")) &amp; "."</f>
        <v>b.</v>
      </c>
      <c r="H1324" s="28" t="s">
        <v>204</v>
      </c>
    </row>
    <row r="1325" spans="2:8" ht="30" hidden="1" outlineLevel="2">
      <c r="B1325" s="12" t="s">
        <v>203</v>
      </c>
      <c r="C1325" s="9" t="str">
        <f>C1323</f>
        <v>Show</v>
      </c>
      <c r="F1325" s="78"/>
      <c r="G1325" s="70" t="str">
        <f>CHAR(97+COUNTIF($C$1323:C1324,"Show")) &amp; "."</f>
        <v>c.</v>
      </c>
      <c r="H1325" s="28" t="s">
        <v>205</v>
      </c>
    </row>
    <row r="1326" spans="2:8" ht="45" hidden="1" outlineLevel="2">
      <c r="B1326" s="12" t="s">
        <v>206</v>
      </c>
      <c r="C1326" s="9" t="str">
        <f>IF(OR('1. Criteria &amp; Spec Matrix'!E50="",'1. Criteria &amp; Spec Matrix'!E50='3. Dropdowns'!C92),"Show","Hide")</f>
        <v>Show</v>
      </c>
      <c r="F1326" s="78"/>
      <c r="G1326" s="70" t="str">
        <f>CHAR(97+COUNTIF($C$1323:C1325,"Show")) &amp; "."</f>
        <v>d.</v>
      </c>
      <c r="H1326" s="28" t="s">
        <v>2672</v>
      </c>
    </row>
    <row r="1327" spans="2:8" ht="45" hidden="1" outlineLevel="2">
      <c r="B1327" s="12" t="s">
        <v>207</v>
      </c>
      <c r="C1327" s="9" t="str">
        <f>IF(OR('1. Criteria &amp; Spec Matrix'!E51="",'1. Criteria &amp; Spec Matrix'!E51='3. Dropdowns'!C92),"Show","Hide")</f>
        <v>Show</v>
      </c>
      <c r="F1327" s="78"/>
      <c r="G1327" s="70" t="str">
        <f>CHAR(97+COUNTIF($C$1323:C1326,"Show")) &amp; "."</f>
        <v>e.</v>
      </c>
      <c r="H1327" s="28" t="s">
        <v>2673</v>
      </c>
    </row>
    <row r="1328" spans="2:8" ht="30" hidden="1" outlineLevel="2">
      <c r="B1328" s="12" t="s">
        <v>207</v>
      </c>
      <c r="C1328" s="9" t="str">
        <f>IF(OR('1. Criteria &amp; Spec Matrix'!E51="",'1. Criteria &amp; Spec Matrix'!E51='3. Dropdowns'!C92),"Show","Hide")</f>
        <v>Show</v>
      </c>
      <c r="F1328" s="78"/>
      <c r="G1328" s="70" t="str">
        <f>CHAR(97+COUNTIF($C$1323:C1327,"Show")) &amp; "."</f>
        <v>f.</v>
      </c>
      <c r="H1328" s="28" t="s">
        <v>208</v>
      </c>
    </row>
    <row r="1329" spans="2:8" ht="45" hidden="1" outlineLevel="2">
      <c r="B1329" s="12" t="s">
        <v>207</v>
      </c>
      <c r="C1329" s="9" t="str">
        <f>IF(OR('1. Criteria &amp; Spec Matrix'!E51="",'1. Criteria &amp; Spec Matrix'!E51='3. Dropdowns'!C92),"Show","Hide")</f>
        <v>Show</v>
      </c>
      <c r="F1329" s="78"/>
      <c r="G1329" s="70" t="str">
        <f>CHAR(97+COUNTIF($C$1323:C1328,"Show")) &amp; "."</f>
        <v>g.</v>
      </c>
      <c r="H1329" s="28" t="s">
        <v>209</v>
      </c>
    </row>
    <row r="1330" spans="2:8" ht="30" hidden="1" outlineLevel="2">
      <c r="B1330" s="12" t="s">
        <v>210</v>
      </c>
      <c r="C1330" s="9" t="str">
        <f>IF(OR('1. Criteria &amp; Spec Matrix'!E52="",'1. Criteria &amp; Spec Matrix'!E52='3. Dropdowns'!C92),"Show","Hide")</f>
        <v>Show</v>
      </c>
      <c r="F1330" s="78"/>
      <c r="G1330" s="70" t="str">
        <f>CHAR(97+COUNTIF($C$1323:C1329,"Show")) &amp; "."</f>
        <v>h.</v>
      </c>
      <c r="H1330" s="28" t="s">
        <v>211</v>
      </c>
    </row>
    <row r="1331" spans="2:8" hidden="1" outlineLevel="2">
      <c r="B1331" s="12" t="s">
        <v>210</v>
      </c>
      <c r="C1331" s="9" t="str">
        <f>IF(OR('1. Criteria &amp; Spec Matrix'!E52="",'1. Criteria &amp; Spec Matrix'!E52='3. Dropdowns'!C92),"Show","Hide")</f>
        <v>Show</v>
      </c>
      <c r="F1331" s="78"/>
      <c r="G1331" s="70" t="str">
        <f>CHAR(97+COUNTIF($C$1323:C1330,"Show")) &amp; "."</f>
        <v>i.</v>
      </c>
      <c r="H1331" s="28" t="s">
        <v>212</v>
      </c>
    </row>
    <row r="1332" spans="2:8" ht="60" hidden="1" outlineLevel="2">
      <c r="B1332" s="12" t="s">
        <v>213</v>
      </c>
      <c r="C1332" s="9" t="str">
        <f>IF(OR('1. Criteria &amp; Spec Matrix'!E53="",'1. Criteria &amp; Spec Matrix'!E53='3. Dropdowns'!C92),"Show","Hide")</f>
        <v>Show</v>
      </c>
      <c r="F1332" s="78"/>
      <c r="G1332" s="70" t="str">
        <f>CHAR(97+COUNTIF($C$1323:C1331,"Show")) &amp; "."</f>
        <v>j.</v>
      </c>
      <c r="H1332" s="28" t="s">
        <v>214</v>
      </c>
    </row>
    <row r="1333" spans="2:8" hidden="1" outlineLevel="2">
      <c r="B1333" s="12" t="s">
        <v>215</v>
      </c>
      <c r="C1333" s="9" t="str">
        <f>IF(OR('1. Criteria &amp; Spec Matrix'!E54="",'1. Criteria &amp; Spec Matrix'!E54='3. Dropdowns'!C92),"Show","Hide")</f>
        <v>Show</v>
      </c>
      <c r="F1333" s="78"/>
      <c r="G1333" s="70" t="str">
        <f>CHAR(97+COUNTIF($C$1323:C1332,"Show")) &amp; "."</f>
        <v>k.</v>
      </c>
      <c r="H1333" s="28" t="s">
        <v>216</v>
      </c>
    </row>
    <row r="1334" spans="2:8" hidden="1" outlineLevel="2">
      <c r="B1334" s="12" t="s">
        <v>215</v>
      </c>
      <c r="C1334" s="9" t="str">
        <f>C1333</f>
        <v>Show</v>
      </c>
      <c r="F1334" s="78"/>
      <c r="G1334" s="70" t="str">
        <f>CHAR(97+COUNTIF($C$1323:C1333,"Show")) &amp; "."</f>
        <v>l.</v>
      </c>
      <c r="H1334" s="28" t="s">
        <v>2674</v>
      </c>
    </row>
    <row r="1335" spans="2:8" hidden="1" outlineLevel="2">
      <c r="B1335" s="12" t="s">
        <v>148</v>
      </c>
      <c r="C1335" s="7" t="str">
        <f>IF(COUNTIF(C1336:C1337,"Show")&gt;0,"Show","Hide")</f>
        <v>Show</v>
      </c>
      <c r="F1335" s="78" t="str">
        <f>(3+COUNTIF(C1304,"Show")+COUNTIF(C1313,"Show")+COUNTIF(C1315,"Show")+COUNTIF(C1318,"Show")+COUNTIF(C1322,"Show")) &amp; "."</f>
        <v>8.</v>
      </c>
      <c r="G1335" s="71" t="s">
        <v>2446</v>
      </c>
      <c r="H1335" s="28"/>
    </row>
    <row r="1336" spans="2:8" ht="30" hidden="1" outlineLevel="2">
      <c r="B1336" s="12" t="s">
        <v>694</v>
      </c>
      <c r="C1336" s="9" t="str">
        <f>IF(OR('1. Criteria &amp; Spec Matrix'!E56='3. Dropdowns'!C94,'1. Criteria &amp; Spec Matrix'!E57='3. Dropdowns'!C94,'1. Criteria &amp; Spec Matrix'!E58='3. Dropdowns'!C94),"Show",IF(OR('1. Criteria &amp; Spec Matrix'!E56="",'1. Criteria &amp; Spec Matrix'!E57="",'1. Criteria &amp; Spec Matrix'!E58=""),"Show","Hide"))</f>
        <v>Show</v>
      </c>
      <c r="F1336" s="78"/>
      <c r="G1336" s="70" t="s">
        <v>133</v>
      </c>
      <c r="H1336" s="28" t="s">
        <v>696</v>
      </c>
    </row>
    <row r="1337" spans="2:8" ht="30" hidden="1" outlineLevel="2">
      <c r="B1337" s="12" t="s">
        <v>697</v>
      </c>
      <c r="C1337" s="9" t="str">
        <f>IF(OR('1. Criteria &amp; Spec Matrix'!E59='3. Dropdowns'!C96,'1. Criteria &amp; Spec Matrix'!E60='3. Dropdowns'!C96,'1. Criteria &amp; Spec Matrix'!E61='3. Dropdowns'!C96,'1. Criteria &amp; Spec Matrix'!E62='3. Dropdowns'!C96),"Show",
IF(OR('1. Criteria &amp; Spec Matrix'!E59="",'1. Criteria &amp; Spec Matrix'!E60="",'1. Criteria &amp; Spec Matrix'!E61="",'1. Criteria &amp; Spec Matrix'!E62=""),"Show","Hide"))</f>
        <v>Show</v>
      </c>
      <c r="F1337" s="78"/>
      <c r="G1337" s="70" t="str">
        <f>CHAR(97+COUNTIF($C$1336:C1336,"Show")) &amp; "."</f>
        <v>b.</v>
      </c>
      <c r="H1337" s="28" t="s">
        <v>695</v>
      </c>
    </row>
    <row r="1338" spans="2:8" hidden="1" outlineLevel="2">
      <c r="B1338" s="12" t="s">
        <v>152</v>
      </c>
      <c r="C1338" s="7" t="str">
        <f>IF(COUNTIF(C1339:C1403,"Show")&gt;0,"Show","Hide")</f>
        <v>Show</v>
      </c>
      <c r="F1338" s="78" t="str">
        <f>(3+COUNTIF(C1304,"Show")+COUNTIF(C1313,"Show")+COUNTIF(C1315,"Show")+COUNTIF(C1318,"Show")+COUNTIF(C1322,"Show")+COUNTIF(C1335,"Show")) &amp; "."</f>
        <v>9.</v>
      </c>
      <c r="G1338" s="71" t="s">
        <v>2956</v>
      </c>
    </row>
    <row r="1339" spans="2:8" ht="75" hidden="1" outlineLevel="2">
      <c r="B1339" s="12" t="s">
        <v>154</v>
      </c>
      <c r="C1339" s="9" t="str">
        <f>IF(AND('1. Criteria &amp; Spec Matrix'!C64="Show",OR('1. Criteria &amp; Spec Matrix'!E64='3. Dropdowns'!C98,'1. Criteria &amp; Spec Matrix'!E64='3. Dropdowns'!C99,'1. Criteria &amp; Spec Matrix'!E64='3. Dropdowns'!C100,'1. Criteria &amp; Spec Matrix'!E64='3. Dropdowns'!C101,'1. Criteria &amp; Spec Matrix'!E64='3. Dropdowns'!C102,'1. Criteria &amp; Spec Matrix'!E64='3. Dropdowns'!C103)),"Show",
IF(AND('1. Criteria &amp; Spec Matrix'!C64="Show",'1. Criteria &amp; Spec Matrix'!E64=""),"Show","Hide"))</f>
        <v>Show</v>
      </c>
      <c r="F1339" s="78"/>
      <c r="G1339" s="70" t="s">
        <v>133</v>
      </c>
      <c r="H1339" s="28" t="s">
        <v>217</v>
      </c>
    </row>
    <row r="1340" spans="2:8" ht="33" hidden="1" customHeight="1" outlineLevel="2">
      <c r="B1340" s="12" t="s">
        <v>155</v>
      </c>
      <c r="C1340" s="9" t="str">
        <f>IF(AND('1. Criteria &amp; Spec Matrix'!C64="Show",OR('1. Criteria &amp; Spec Matrix'!E64='3. Dropdowns'!C99,'1. Criteria &amp; Spec Matrix'!E64='3. Dropdowns'!C100,'1. Criteria &amp; Spec Matrix'!E64='3. Dropdowns'!C102,'1. Criteria &amp; Spec Matrix'!E64='3. Dropdowns'!C103)),"Show",
IF(AND('1. Criteria &amp; Spec Matrix'!C64="Show",'1. Criteria &amp; Spec Matrix'!E64=""),"Show","Hide"))</f>
        <v>Show</v>
      </c>
      <c r="F1340" s="78"/>
      <c r="G1340" s="70" t="str">
        <f>CHAR(97+COUNTIF($C$1339:C1339,"Show")) &amp; "."</f>
        <v>b.</v>
      </c>
      <c r="H1340" s="28" t="s">
        <v>218</v>
      </c>
    </row>
    <row r="1341" spans="2:8" ht="30" hidden="1" outlineLevel="2">
      <c r="B1341" s="12" t="s">
        <v>156</v>
      </c>
      <c r="C1341" s="9" t="str">
        <f>IF(AND('1. Criteria &amp; Spec Matrix'!C64="Show",OR('1. Criteria &amp; Spec Matrix'!E64='3. Dropdowns'!C100,'1. Criteria &amp; Spec Matrix'!E64='3. Dropdowns'!C103)),"Show",
IF(AND('1. Criteria &amp; Spec Matrix'!C64="Show",'1. Criteria &amp; Spec Matrix'!E64=""),"Show","Hide"))</f>
        <v>Show</v>
      </c>
      <c r="F1341" s="78"/>
      <c r="G1341" s="70" t="str">
        <f>CHAR(97+COUNTIF($C$1339:C1340,"Show")) &amp; "."</f>
        <v>c.</v>
      </c>
      <c r="H1341" s="28" t="s">
        <v>219</v>
      </c>
    </row>
    <row r="1342" spans="2:8" hidden="1" outlineLevel="2">
      <c r="B1342" s="12" t="s">
        <v>156</v>
      </c>
      <c r="C1342" s="9" t="str">
        <f>C1341</f>
        <v>Show</v>
      </c>
      <c r="F1342" s="78"/>
      <c r="G1342" s="70" t="str">
        <f>CHAR(97+COUNTIF($C$1339:C1341,"Show")) &amp; "."</f>
        <v>d.</v>
      </c>
      <c r="H1342" s="28" t="s">
        <v>220</v>
      </c>
    </row>
    <row r="1343" spans="2:8" ht="30" hidden="1" outlineLevel="2">
      <c r="B1343" s="12" t="s">
        <v>156</v>
      </c>
      <c r="C1343" s="9" t="str">
        <f>C1342</f>
        <v>Show</v>
      </c>
      <c r="F1343" s="78"/>
      <c r="G1343" s="70" t="str">
        <f>CHAR(97+COUNTIF($C$1339:C1342,"Show")) &amp; "."</f>
        <v>e.</v>
      </c>
      <c r="H1343" s="28" t="s">
        <v>221</v>
      </c>
    </row>
    <row r="1344" spans="2:8" ht="30" hidden="1" outlineLevel="2">
      <c r="B1344" s="12" t="s">
        <v>157</v>
      </c>
      <c r="C1344" s="9" t="str">
        <f>IF(AND('1. Criteria &amp; Spec Matrix'!C64="Show",OR('1. Criteria &amp; Spec Matrix'!E64='3. Dropdowns'!C101,'1. Criteria &amp; Spec Matrix'!E64='3. Dropdowns'!C102,'1. Criteria &amp; Spec Matrix'!E64='3. Dropdowns'!C103)),"Show",
IF(AND('1. Criteria &amp; Spec Matrix'!C64="Show",'1. Criteria &amp; Spec Matrix'!E64=""),"Show","Hide"))</f>
        <v>Show</v>
      </c>
      <c r="F1344" s="78"/>
      <c r="G1344" s="70" t="str">
        <f>CHAR(97+COUNTIF($C$1339:C1343,"Show")) &amp; "."</f>
        <v>f.</v>
      </c>
      <c r="H1344" s="75" t="s">
        <v>222</v>
      </c>
    </row>
    <row r="1345" spans="2:8" hidden="1" outlineLevel="2">
      <c r="B1345" s="12" t="s">
        <v>698</v>
      </c>
      <c r="C1345" s="9" t="str">
        <f>IF(AND('1. Criteria &amp; Spec Matrix'!C65="Show",OR('1. Criteria &amp; Spec Matrix'!E65='3. Dropdowns'!C105,'1. Criteria &amp; Spec Matrix'!E65='3. Dropdowns'!C106,'1. Criteria &amp; Spec Matrix'!E65='3. Dropdowns'!C107,'1. Criteria &amp; Spec Matrix'!E65='3. Dropdowns'!C108,'1. Criteria &amp; Spec Matrix'!E65='3. Dropdowns'!C109,'1. Criteria &amp; Spec Matrix'!E65='3. Dropdowns'!C110)),"Show",
IF(AND('1. Criteria &amp; Spec Matrix'!C65="Show",'1. Criteria &amp; Spec Matrix'!E65=""),"Show","Hide"))</f>
        <v>Show</v>
      </c>
      <c r="F1345" s="78"/>
      <c r="G1345" s="70" t="str">
        <f>CHAR(97+COUNTIF($C$1339:C1344,"Show")) &amp; "."</f>
        <v>g.</v>
      </c>
      <c r="H1345" s="28" t="s">
        <v>708</v>
      </c>
    </row>
    <row r="1346" spans="2:8" ht="30" hidden="1" outlineLevel="2">
      <c r="B1346" s="12" t="s">
        <v>721</v>
      </c>
      <c r="C1346" s="9" t="str">
        <f>IF(AND('1. Criteria &amp; Spec Matrix'!C65="Show",OR('1. Criteria &amp; Spec Matrix'!E65='3. Dropdowns'!C106,'1. Criteria &amp; Spec Matrix'!E65='3. Dropdowns'!C107,'1. Criteria &amp; Spec Matrix'!E65='3. Dropdowns'!C109,'1. Criteria &amp; Spec Matrix'!E65='3. Dropdowns'!C110)),"Show",
IF(AND('1. Criteria &amp; Spec Matrix'!C65="Show",'1. Criteria &amp; Spec Matrix'!E65=""),"Show","Hide"))</f>
        <v>Show</v>
      </c>
      <c r="F1346" s="78"/>
      <c r="G1346" s="70" t="str">
        <f>CHAR(97+COUNTIF($C$1339:C1345,"Show")) &amp; "."</f>
        <v>h.</v>
      </c>
      <c r="H1346" s="28" t="s">
        <v>709</v>
      </c>
    </row>
    <row r="1347" spans="2:8" ht="30" hidden="1" outlineLevel="2">
      <c r="B1347" s="12" t="s">
        <v>702</v>
      </c>
      <c r="C1347" s="9" t="str">
        <f>IF(AND('1. Criteria &amp; Spec Matrix'!C65="Show",OR('1. Criteria &amp; Spec Matrix'!E65='3. Dropdowns'!C107,'1. Criteria &amp; Spec Matrix'!E65='3. Dropdowns'!C110)),"Show",
IF(AND('1. Criteria &amp; Spec Matrix'!C65="Show",'1. Criteria &amp; Spec Matrix'!E65=""),"Show","Hide"))</f>
        <v>Show</v>
      </c>
      <c r="F1347" s="78"/>
      <c r="G1347" s="70" t="str">
        <f>CHAR(97+COUNTIF($C$1339:C1346,"Show")) &amp; "."</f>
        <v>i.</v>
      </c>
      <c r="H1347" s="28" t="s">
        <v>2675</v>
      </c>
    </row>
    <row r="1348" spans="2:8" ht="30" hidden="1" outlineLevel="2">
      <c r="B1348" s="12" t="s">
        <v>703</v>
      </c>
      <c r="C1348" s="9" t="str">
        <f>C1347</f>
        <v>Show</v>
      </c>
      <c r="F1348" s="78"/>
      <c r="G1348" s="70" t="str">
        <f>CHAR(97+COUNTIF($C$1339:C1347,"Show")) &amp; "."</f>
        <v>j.</v>
      </c>
      <c r="H1348" s="28" t="s">
        <v>711</v>
      </c>
    </row>
    <row r="1349" spans="2:8" hidden="1" outlineLevel="2">
      <c r="B1349" s="12" t="s">
        <v>701</v>
      </c>
      <c r="C1349" s="9" t="str">
        <f>IF(AND('1. Criteria &amp; Spec Matrix'!C65="Show",OR('1. Criteria &amp; Spec Matrix'!E65='3. Dropdowns'!C108,'1. Criteria &amp; Spec Matrix'!E65='3. Dropdowns'!C109,'1. Criteria &amp; Spec Matrix'!E65='3. Dropdowns'!C110)),"Show",
IF(AND('1. Criteria &amp; Spec Matrix'!C65="Show",'1. Criteria &amp; Spec Matrix'!E65=""),"Show","Hide"))</f>
        <v>Show</v>
      </c>
      <c r="F1349" s="78"/>
      <c r="G1349" s="70" t="str">
        <f>CHAR(97+COUNTIF($C$1339:C1348,"Show")) &amp; "."</f>
        <v>k.</v>
      </c>
      <c r="H1349" s="28" t="s">
        <v>710</v>
      </c>
    </row>
    <row r="1350" spans="2:8" hidden="1" outlineLevel="2">
      <c r="B1350" s="12" t="s">
        <v>1762</v>
      </c>
      <c r="C1350" s="9" t="str">
        <f>IF('1. Criteria &amp; Spec Matrix'!E68='3. Dropdowns'!C116,"Show",
IF(AND('1. Criteria &amp; Spec Matrix'!C68="Show",'1. Criteria &amp; Spec Matrix'!E68=""),"Show","Hide"))</f>
        <v>Show</v>
      </c>
      <c r="F1350" s="78"/>
      <c r="G1350" s="70" t="str">
        <f>CHAR(97+COUNTIF($C$1339:C1349,"Show")) &amp; "."</f>
        <v>l.</v>
      </c>
      <c r="H1350" s="28" t="s">
        <v>1763</v>
      </c>
    </row>
    <row r="1351" spans="2:8" hidden="1" outlineLevel="2">
      <c r="B1351" s="76" t="s">
        <v>1764</v>
      </c>
      <c r="C1351" s="9" t="str">
        <f>IF('1. Criteria &amp; Spec Matrix'!E70='3. Dropdowns'!C116,"Show",
IF(AND('1. Criteria &amp; Spec Matrix'!C70="Show",'1. Criteria &amp; Spec Matrix'!E70=""),"Show","Hide"))</f>
        <v>Show</v>
      </c>
      <c r="F1351" s="78"/>
      <c r="G1351" s="70" t="str">
        <f>CHAR(97+COUNTIF($C$1339:C1350,"Show")) &amp; "."</f>
        <v>m.</v>
      </c>
      <c r="H1351" s="28" t="s">
        <v>1766</v>
      </c>
    </row>
    <row r="1352" spans="2:8" ht="30" hidden="1" outlineLevel="2">
      <c r="B1352" s="12" t="s">
        <v>1772</v>
      </c>
      <c r="C1352" s="9" t="str">
        <f>IF('1. Criteria &amp; Spec Matrix'!E73='3. Dropdowns'!C116,"Show",
IF(AND('1. Criteria &amp; Spec Matrix'!C73="Show",'1. Criteria &amp; Spec Matrix'!E73=""),"Show","Hide"))</f>
        <v>Show</v>
      </c>
      <c r="F1352" s="78"/>
      <c r="G1352" s="70" t="str">
        <f>CHAR(97+COUNTIF($C$1339:C1351,"Show")) &amp; "."</f>
        <v>n.</v>
      </c>
      <c r="H1352" s="75" t="s">
        <v>1773</v>
      </c>
    </row>
    <row r="1353" spans="2:8" ht="30" hidden="1" outlineLevel="2">
      <c r="B1353" s="12" t="s">
        <v>1775</v>
      </c>
      <c r="C1353" s="9" t="str">
        <f>IF('1. Criteria &amp; Spec Matrix'!E74='3. Dropdowns'!C116,"Show",
IF(AND('1. Criteria &amp; Spec Matrix'!C74="Show",'1. Criteria &amp; Spec Matrix'!E74=""),"Show","Hide"))</f>
        <v>Show</v>
      </c>
      <c r="F1353" s="78"/>
      <c r="G1353" s="70" t="str">
        <f>CHAR(97+COUNTIF($C$1339:C1352,"Show")) &amp; "."</f>
        <v>o.</v>
      </c>
      <c r="H1353" s="75" t="s">
        <v>1776</v>
      </c>
    </row>
    <row r="1354" spans="2:8" hidden="1" outlineLevel="2">
      <c r="B1354" s="12" t="s">
        <v>1875</v>
      </c>
      <c r="C1354" s="9" t="str">
        <f>IF('1. Criteria &amp; Spec Matrix'!E77='3. Dropdowns'!C116,"Show",
IF(AND('1. Criteria &amp; Spec Matrix'!C77="Show",'1. Criteria &amp; Spec Matrix'!E77=""),"Show","Hide"))</f>
        <v>Show</v>
      </c>
      <c r="F1354" s="78"/>
      <c r="G1354" s="70" t="str">
        <f>CHAR(97+COUNTIF($C$1339:C1353,"Show")) &amp; "."</f>
        <v>p.</v>
      </c>
      <c r="H1354" s="28" t="s">
        <v>1870</v>
      </c>
    </row>
    <row r="1355" spans="2:8" ht="90" hidden="1" outlineLevel="2">
      <c r="B1355" s="12" t="s">
        <v>1876</v>
      </c>
      <c r="C1355" s="9" t="str">
        <f>IF('1. Criteria &amp; Spec Matrix'!E78='3. Dropdowns'!C116,"Show",
IF(AND('1. Criteria &amp; Spec Matrix'!C78="Show",'1. Criteria &amp; Spec Matrix'!E78=""),"Show","Hide"))</f>
        <v>Show</v>
      </c>
      <c r="F1355" s="78"/>
      <c r="G1355" s="70" t="str">
        <f>CHAR(97+COUNTIF($C$1339:C1354,"Show")) &amp; "."</f>
        <v>q.</v>
      </c>
      <c r="H1355" s="75" t="s">
        <v>1871</v>
      </c>
    </row>
    <row r="1356" spans="2:8" ht="105" hidden="1" outlineLevel="2">
      <c r="B1356" s="12" t="s">
        <v>1877</v>
      </c>
      <c r="C1356" s="9" t="str">
        <f>IF('1. Criteria &amp; Spec Matrix'!E79='3. Dropdowns'!C116,"Show",
IF(AND('1. Criteria &amp; Spec Matrix'!C79="Show",'1. Criteria &amp; Spec Matrix'!E79=""),"Show","Hide"))</f>
        <v>Show</v>
      </c>
      <c r="F1356" s="78"/>
      <c r="G1356" s="70" t="str">
        <f>CHAR(97+COUNTIF($C$1339:C1355,"Show")) &amp; "."</f>
        <v>r.</v>
      </c>
      <c r="H1356" s="28" t="s">
        <v>1872</v>
      </c>
    </row>
    <row r="1357" spans="2:8" ht="30" hidden="1" outlineLevel="2">
      <c r="B1357" s="12" t="s">
        <v>1878</v>
      </c>
      <c r="C1357" s="9" t="str">
        <f>IF('1. Criteria &amp; Spec Matrix'!E80='3. Dropdowns'!C116,"Show",
IF(AND('1. Criteria &amp; Spec Matrix'!C80="Show",'1. Criteria &amp; Spec Matrix'!E80=""),"Show","Hide"))</f>
        <v>Show</v>
      </c>
      <c r="F1357" s="78"/>
      <c r="G1357" s="70" t="str">
        <f>CHAR(97+COUNTIF($C$1339:C1356,"Show")) &amp; "."</f>
        <v>s.</v>
      </c>
      <c r="H1357" s="28" t="s">
        <v>1873</v>
      </c>
    </row>
    <row r="1358" spans="2:8" ht="30" hidden="1" outlineLevel="2">
      <c r="B1358" s="12" t="s">
        <v>1879</v>
      </c>
      <c r="C1358" s="9" t="str">
        <f>IF('1. Criteria &amp; Spec Matrix'!E83='3. Dropdowns'!C116,"Show",
IF(AND('1. Criteria &amp; Spec Matrix'!C83="Show",'1. Criteria &amp; Spec Matrix'!E83=""),"Show","Hide"))</f>
        <v>Show</v>
      </c>
      <c r="F1358" s="78"/>
      <c r="G1358" s="70" t="str">
        <f>CHAR(97+COUNTIF($C$1339:C1357,"Show")) &amp; "."</f>
        <v>t.</v>
      </c>
      <c r="H1358" s="75" t="s">
        <v>1874</v>
      </c>
    </row>
    <row r="1359" spans="2:8" ht="30" hidden="1" outlineLevel="2">
      <c r="B1359" s="12" t="s">
        <v>1854</v>
      </c>
      <c r="C1359" s="9" t="str">
        <f>IF('1. Criteria &amp; Spec Matrix'!E85='3. Dropdowns'!C116,"Show",
IF(AND('1. Criteria &amp; Spec Matrix'!C85="Show",'1. Criteria &amp; Spec Matrix'!E85=""),"Show","Hide"))</f>
        <v>Show</v>
      </c>
      <c r="F1359" s="78"/>
      <c r="G1359" s="70" t="str">
        <f>CHAR(97+COUNTIF($C$1339:C1358,"Show")) &amp; "."</f>
        <v>u.</v>
      </c>
      <c r="H1359" s="28" t="s">
        <v>1880</v>
      </c>
    </row>
    <row r="1360" spans="2:8" ht="45" hidden="1" outlineLevel="2">
      <c r="B1360" s="12" t="s">
        <v>1855</v>
      </c>
      <c r="C1360" s="9" t="str">
        <f>IF('1. Criteria &amp; Spec Matrix'!E86='3. Dropdowns'!C116,"Show",
IF(AND('1. Criteria &amp; Spec Matrix'!C86="Show",'1. Criteria &amp; Spec Matrix'!E86=""),"Show","Hide"))</f>
        <v>Show</v>
      </c>
      <c r="F1360" s="78"/>
      <c r="G1360" s="70" t="str">
        <f>CHAR(97+COUNTIF($C$1339:C1359,"Show")) &amp; "."</f>
        <v>v.</v>
      </c>
      <c r="H1360" s="28" t="s">
        <v>1881</v>
      </c>
    </row>
    <row r="1361" spans="2:8" ht="30" hidden="1" outlineLevel="2">
      <c r="B1361" s="12" t="s">
        <v>1890</v>
      </c>
      <c r="C1361" s="9" t="str">
        <f>IF('1. Criteria &amp; Spec Matrix'!E87='3. Dropdowns'!C116,"Show",
IF(AND('1. Criteria &amp; Spec Matrix'!C87="Show",'1. Criteria &amp; Spec Matrix'!E87=""),"Show","Hide"))</f>
        <v>Show</v>
      </c>
      <c r="F1361" s="78"/>
      <c r="G1361" s="70" t="str">
        <f>CHAR(97+COUNTIF($C$1339:C1360,"Show")) &amp; "."</f>
        <v>w.</v>
      </c>
      <c r="H1361" s="28" t="s">
        <v>1882</v>
      </c>
    </row>
    <row r="1362" spans="2:8" ht="45" hidden="1" outlineLevel="2">
      <c r="B1362" s="12" t="s">
        <v>1856</v>
      </c>
      <c r="C1362" s="9" t="str">
        <f>IF('1. Criteria &amp; Spec Matrix'!E88='3. Dropdowns'!C116,"Show",
IF(AND('1. Criteria &amp; Spec Matrix'!C88="Show",'1. Criteria &amp; Spec Matrix'!E88=""),"Show","Hide"))</f>
        <v>Show</v>
      </c>
      <c r="F1362" s="78"/>
      <c r="G1362" s="70" t="str">
        <f>CHAR(97+COUNTIF($C$1339:C1361,"Show")) &amp; "."</f>
        <v>x.</v>
      </c>
      <c r="H1362" s="28" t="s">
        <v>1883</v>
      </c>
    </row>
    <row r="1363" spans="2:8" ht="45" hidden="1" outlineLevel="2">
      <c r="B1363" s="12" t="s">
        <v>1891</v>
      </c>
      <c r="C1363" s="9" t="str">
        <f>IF('1. Criteria &amp; Spec Matrix'!E89='3. Dropdowns'!C116,"Show",
IF(AND('1. Criteria &amp; Spec Matrix'!C89="Show",'1. Criteria &amp; Spec Matrix'!E89=""),"Show","Hide"))</f>
        <v>Show</v>
      </c>
      <c r="F1363" s="78"/>
      <c r="G1363" s="70" t="str">
        <f>CHAR(97+COUNTIF($C$1339:C1362,"Show")) &amp; "."</f>
        <v>y.</v>
      </c>
      <c r="H1363" s="28" t="s">
        <v>1884</v>
      </c>
    </row>
    <row r="1364" spans="2:8" ht="30" hidden="1" outlineLevel="2">
      <c r="B1364" s="12" t="s">
        <v>1892</v>
      </c>
      <c r="C1364" s="9" t="str">
        <f>IF('1. Criteria &amp; Spec Matrix'!E90='3. Dropdowns'!C116,"Show",
IF(AND('1. Criteria &amp; Spec Matrix'!C90="Show",'1. Criteria &amp; Spec Matrix'!E90=""),"Show","Hide"))</f>
        <v>Show</v>
      </c>
      <c r="F1364" s="78"/>
      <c r="G1364" s="70" t="str">
        <f>CHAR(97+COUNTIF($C$1339:C1363,"Show")) &amp; "."</f>
        <v>z.</v>
      </c>
      <c r="H1364" s="28" t="s">
        <v>1885</v>
      </c>
    </row>
    <row r="1365" spans="2:8" ht="45" hidden="1" outlineLevel="2">
      <c r="B1365" s="12" t="s">
        <v>1893</v>
      </c>
      <c r="C1365" s="9" t="str">
        <f>IF('1. Criteria &amp; Spec Matrix'!E91='3. Dropdowns'!C116,"Show",
IF(AND('1. Criteria &amp; Spec Matrix'!C91="Show",'1. Criteria &amp; Spec Matrix'!E91=""),"Show","Hide"))</f>
        <v>Show</v>
      </c>
      <c r="F1365" s="78"/>
      <c r="G1365" s="70" t="str">
        <f>IF(COUNTIF($C$1339:C1364,"Show")&lt;25,(CHAR(97+COUNTIF($C$1339:C1364,"Show")) &amp; "."),(CHAR(71+COUNTIF($C$1339:C1364,"Show")) &amp; (CHAR(71+COUNTIF($C$1339:C1364,"Show")) &amp; ".")))</f>
        <v>aa.</v>
      </c>
      <c r="H1365" s="28" t="s">
        <v>1886</v>
      </c>
    </row>
    <row r="1366" spans="2:8" ht="45" hidden="1" outlineLevel="2">
      <c r="B1366" s="12" t="s">
        <v>1893</v>
      </c>
      <c r="C1366" s="9" t="str">
        <f>C1365</f>
        <v>Show</v>
      </c>
      <c r="F1366" s="78"/>
      <c r="G1366" s="70" t="str">
        <f>IF(COUNTIF($C$1339:C1365,"Show")&lt;25,(CHAR(97+COUNTIF($C$1339:C1365,"Show")) &amp; "."),(CHAR(71+COUNTIF($C$1339:C1365,"Show")) &amp; (CHAR(71+COUNTIF($C$1339:C1365,"Show")) &amp; ".")))</f>
        <v>bb.</v>
      </c>
      <c r="H1366" s="28" t="s">
        <v>1887</v>
      </c>
    </row>
    <row r="1367" spans="2:8" ht="30" hidden="1" outlineLevel="2">
      <c r="B1367" s="12" t="s">
        <v>1903</v>
      </c>
      <c r="C1367" s="9" t="str">
        <f>IF('1. Criteria &amp; Spec Matrix'!E93='3. Dropdowns'!C116,"Show",
IF(AND('1. Criteria &amp; Spec Matrix'!C93="Show",'1. Criteria &amp; Spec Matrix'!E93=""),"Show","Hide"))</f>
        <v>Show</v>
      </c>
      <c r="F1367" s="78"/>
      <c r="G1367" s="70" t="str">
        <f>IF(COUNTIF($C$1339:C1366,"Show")&lt;25,(CHAR(97+COUNTIF($C$1339:C1366,"Show")) &amp; "."),(CHAR(71+COUNTIF($C$1339:C1366,"Show")) &amp; (CHAR(71+COUNTIF($C$1339:C1366,"Show")) &amp; ".")))</f>
        <v>cc.</v>
      </c>
      <c r="H1367" s="28" t="s">
        <v>1894</v>
      </c>
    </row>
    <row r="1368" spans="2:8" hidden="1" outlineLevel="2">
      <c r="B1368" s="12" t="s">
        <v>1822</v>
      </c>
      <c r="C1368" s="9" t="str">
        <f>IF('1. Criteria &amp; Spec Matrix'!E94='3. Dropdowns'!C116,"Show",
IF(AND('1. Criteria &amp; Spec Matrix'!C94="Show",'1. Criteria &amp; Spec Matrix'!E94=""),"Show","Hide"))</f>
        <v>Show</v>
      </c>
      <c r="F1368" s="78"/>
      <c r="G1368" s="70" t="str">
        <f>IF(COUNTIF($C$1339:C1367,"Show")&lt;25,(CHAR(97+COUNTIF($C$1339:C1367,"Show")) &amp; "."),(CHAR(71+COUNTIF($C$1339:C1367,"Show")) &amp; (CHAR(71+COUNTIF($C$1339:C1367,"Show")) &amp; ".")))</f>
        <v>dd.</v>
      </c>
      <c r="H1368" s="28" t="s">
        <v>1895</v>
      </c>
    </row>
    <row r="1369" spans="2:8" ht="45" hidden="1" outlineLevel="2">
      <c r="B1369" s="12" t="s">
        <v>1862</v>
      </c>
      <c r="C1369" s="9" t="str">
        <f>IF('1. Criteria &amp; Spec Matrix'!E95='3. Dropdowns'!C116,"Show",
IF(AND('1. Criteria &amp; Spec Matrix'!C95="Show",'1. Criteria &amp; Spec Matrix'!E95=""),"Show","Hide"))</f>
        <v>Show</v>
      </c>
      <c r="F1369" s="78"/>
      <c r="G1369" s="70" t="str">
        <f>IF(COUNTIF($C$1339:C1368,"Show")&lt;25,(CHAR(97+COUNTIF($C$1339:C1368,"Show")) &amp; "."),(CHAR(71+COUNTIF($C$1339:C1368,"Show")) &amp; (CHAR(71+COUNTIF($C$1339:C1368,"Show")) &amp; ".")))</f>
        <v>ee.</v>
      </c>
      <c r="H1369" s="28" t="s">
        <v>1896</v>
      </c>
    </row>
    <row r="1370" spans="2:8" ht="30" hidden="1" outlineLevel="2">
      <c r="B1370" s="12" t="s">
        <v>1904</v>
      </c>
      <c r="C1370" s="9" t="str">
        <f>IF('1. Criteria &amp; Spec Matrix'!E96='3. Dropdowns'!C116,"Show",
IF(AND('1. Criteria &amp; Spec Matrix'!C96="Show",'1. Criteria &amp; Spec Matrix'!E96=""),"Show","Hide"))</f>
        <v>Show</v>
      </c>
      <c r="F1370" s="78"/>
      <c r="G1370" s="70" t="str">
        <f>IF(COUNTIF($C$1339:C1369,"Show")&lt;25,(CHAR(97+COUNTIF($C$1339:C1369,"Show")) &amp; "."),(CHAR(71+COUNTIF($C$1339:C1369,"Show")) &amp; (CHAR(71+COUNTIF($C$1339:C1369,"Show")) &amp; ".")))</f>
        <v>ff.</v>
      </c>
      <c r="H1370" s="28" t="s">
        <v>1897</v>
      </c>
    </row>
    <row r="1371" spans="2:8" ht="30" hidden="1" outlineLevel="2">
      <c r="B1371" s="12" t="s">
        <v>1823</v>
      </c>
      <c r="C1371" s="9" t="str">
        <f>IF('1. Criteria &amp; Spec Matrix'!E97='3. Dropdowns'!C116,"Show",
IF(AND('1. Criteria &amp; Spec Matrix'!C97="Show",'1. Criteria &amp; Spec Matrix'!E97=""),"Show","Hide"))</f>
        <v>Show</v>
      </c>
      <c r="F1371" s="78"/>
      <c r="G1371" s="70" t="str">
        <f>IF(COUNTIF($C$1339:C1370,"Show")&lt;25,(CHAR(97+COUNTIF($C$1339:C1370,"Show")) &amp; "."),(CHAR(71+COUNTIF($C$1339:C1370,"Show")) &amp; (CHAR(71+COUNTIF($C$1339:C1370,"Show")) &amp; ".")))</f>
        <v>gg.</v>
      </c>
      <c r="H1371" s="75" t="s">
        <v>1898</v>
      </c>
    </row>
    <row r="1372" spans="2:8" ht="30" hidden="1" outlineLevel="2">
      <c r="B1372" s="12" t="s">
        <v>1824</v>
      </c>
      <c r="C1372" s="9" t="str">
        <f>IF('1. Criteria &amp; Spec Matrix'!E98='3. Dropdowns'!C116,"Show",
IF(AND('1. Criteria &amp; Spec Matrix'!C98="Show",'1. Criteria &amp; Spec Matrix'!E98=""),"Show","Hide"))</f>
        <v>Show</v>
      </c>
      <c r="F1372" s="78"/>
      <c r="G1372" s="70" t="str">
        <f>IF(COUNTIF($C$1339:C1371,"Show")&lt;25,(CHAR(97+COUNTIF($C$1339:C1371,"Show")) &amp; "."),(CHAR(71+COUNTIF($C$1339:C1371,"Show")) &amp; (CHAR(71+COUNTIF($C$1339:C1371,"Show")) &amp; ".")))</f>
        <v>hh.</v>
      </c>
      <c r="H1372" s="75" t="s">
        <v>1899</v>
      </c>
    </row>
    <row r="1373" spans="2:8" ht="45" hidden="1" outlineLevel="2">
      <c r="B1373" s="12" t="s">
        <v>1825</v>
      </c>
      <c r="C1373" s="9" t="str">
        <f>IF('1. Criteria &amp; Spec Matrix'!E99='3. Dropdowns'!C116,"Show",
IF(AND('1. Criteria &amp; Spec Matrix'!C99="Show",'1. Criteria &amp; Spec Matrix'!E99=""),"Show","Hide"))</f>
        <v>Show</v>
      </c>
      <c r="F1373" s="78"/>
      <c r="G1373" s="70" t="str">
        <f>IF(COUNTIF($C$1339:C1372,"Show")&lt;25,(CHAR(97+COUNTIF($C$1339:C1372,"Show")) &amp; "."),(CHAR(71+COUNTIF($C$1339:C1372,"Show")) &amp; (CHAR(71+COUNTIF($C$1339:C1372,"Show")) &amp; ".")))</f>
        <v>ii.</v>
      </c>
      <c r="H1373" s="75" t="s">
        <v>1900</v>
      </c>
    </row>
    <row r="1374" spans="2:8" ht="30" hidden="1" outlineLevel="2">
      <c r="B1374" s="12" t="s">
        <v>1905</v>
      </c>
      <c r="C1374" s="9" t="str">
        <f>IF('1. Criteria &amp; Spec Matrix'!E100='3. Dropdowns'!C116,"Show",
IF(AND('1. Criteria &amp; Spec Matrix'!C100="Show",'1. Criteria &amp; Spec Matrix'!E100=""),"Show","Hide"))</f>
        <v>Show</v>
      </c>
      <c r="F1374" s="78"/>
      <c r="G1374" s="70" t="str">
        <f>IF(COUNTIF($C$1339:C1373,"Show")&lt;25,(CHAR(97+COUNTIF($C$1339:C1373,"Show")) &amp; "."),(CHAR(71+COUNTIF($C$1339:C1373,"Show")) &amp; (CHAR(71+COUNTIF($C$1339:C1373,"Show")) &amp; ".")))</f>
        <v>jj.</v>
      </c>
      <c r="H1374" s="28" t="s">
        <v>1901</v>
      </c>
    </row>
    <row r="1375" spans="2:8" ht="48" hidden="1" customHeight="1" outlineLevel="2">
      <c r="B1375" s="12" t="s">
        <v>1826</v>
      </c>
      <c r="C1375" s="9" t="str">
        <f>IF('1. Criteria &amp; Spec Matrix'!E102='3. Dropdowns'!C116,"Show",
IF(AND('1. Criteria &amp; Spec Matrix'!C102="Show",'1. Criteria &amp; Spec Matrix'!E102=""),"Show","Hide"))</f>
        <v>Show</v>
      </c>
      <c r="F1375" s="78"/>
      <c r="G1375" s="70" t="str">
        <f>IF(COUNTIF($C$1339:C1374,"Show")&lt;25,(CHAR(97+COUNTIF($C$1339:C1374,"Show")) &amp; "."),(CHAR(71+COUNTIF($C$1339:C1374,"Show")) &amp; (CHAR(71+COUNTIF($C$1339:C1374,"Show")) &amp; ".")))</f>
        <v>kk.</v>
      </c>
      <c r="H1375" s="28" t="s">
        <v>1902</v>
      </c>
    </row>
    <row r="1376" spans="2:8" ht="30" hidden="1" outlineLevel="2">
      <c r="B1376" s="12" t="s">
        <v>1909</v>
      </c>
      <c r="C1376" s="9" t="str">
        <f>IF('1. Criteria &amp; Spec Matrix'!E104='3. Dropdowns'!C116,"Show",
IF(AND('1. Criteria &amp; Spec Matrix'!C104="Show",'1. Criteria &amp; Spec Matrix'!E104=""),"Show","Hide"))</f>
        <v>Show</v>
      </c>
      <c r="F1376" s="78"/>
      <c r="G1376" s="70" t="str">
        <f>IF(COUNTIF($C$1339:C1375,"Show")&lt;25,(CHAR(97+COUNTIF($C$1339:C1375,"Show")) &amp; "."),(CHAR(71+COUNTIF($C$1339:C1375,"Show")) &amp; (CHAR(71+COUNTIF($C$1339:C1375,"Show")) &amp; ".")))</f>
        <v>ll.</v>
      </c>
      <c r="H1376" s="75" t="s">
        <v>1906</v>
      </c>
    </row>
    <row r="1377" spans="2:8" ht="30" hidden="1" outlineLevel="2">
      <c r="B1377" s="12" t="s">
        <v>1837</v>
      </c>
      <c r="C1377" s="9" t="str">
        <f>IF('1. Criteria &amp; Spec Matrix'!E105='3. Dropdowns'!C116,"Show",
IF(AND('1. Criteria &amp; Spec Matrix'!C105="Show",'1. Criteria &amp; Spec Matrix'!E105=""),"Show","Hide"))</f>
        <v>Show</v>
      </c>
      <c r="F1377" s="78"/>
      <c r="G1377" s="70" t="str">
        <f>IF(COUNTIF($C$1339:C1376,"Show")&lt;25,(CHAR(97+COUNTIF($C$1339:C1376,"Show")) &amp; "."),(CHAR(71+COUNTIF($C$1339:C1376,"Show")) &amp; (CHAR(71+COUNTIF($C$1339:C1376,"Show")) &amp; ".")))</f>
        <v>mm.</v>
      </c>
      <c r="H1377" s="28" t="s">
        <v>1907</v>
      </c>
    </row>
    <row r="1378" spans="2:8" ht="30" hidden="1" outlineLevel="2">
      <c r="B1378" s="12" t="s">
        <v>1838</v>
      </c>
      <c r="C1378" s="9" t="str">
        <f>IF('1. Criteria &amp; Spec Matrix'!E106='3. Dropdowns'!C116,"Show",
IF(AND('1. Criteria &amp; Spec Matrix'!C106="Show",'1. Criteria &amp; Spec Matrix'!E106=""),"Show","Hide"))</f>
        <v>Show</v>
      </c>
      <c r="F1378" s="78"/>
      <c r="G1378" s="70" t="str">
        <f>IF(COUNTIF($C$1339:C1377,"Show")&lt;25,(CHAR(97+COUNTIF($C$1339:C1377,"Show")) &amp; "."),(CHAR(71+COUNTIF($C$1339:C1377,"Show")) &amp; (CHAR(71+COUNTIF($C$1339:C1377,"Show")) &amp; ".")))</f>
        <v>nn.</v>
      </c>
      <c r="H1378" s="28" t="s">
        <v>1908</v>
      </c>
    </row>
    <row r="1379" spans="2:8" ht="30" hidden="1" outlineLevel="2">
      <c r="B1379" s="12" t="s">
        <v>1918</v>
      </c>
      <c r="C1379" s="9" t="str">
        <f>IF('1. Criteria &amp; Spec Matrix'!E108='3. Dropdowns'!C116,"Show",
IF(AND('1. Criteria &amp; Spec Matrix'!C108="Show",'1. Criteria &amp; Spec Matrix'!E108=""),"Show","Hide"))</f>
        <v>Show</v>
      </c>
      <c r="F1379" s="78"/>
      <c r="G1379" s="70" t="str">
        <f>IF(COUNTIF($C$1339:C1378,"Show")&lt;25,(CHAR(97+COUNTIF($C$1339:C1378,"Show")) &amp; "."),(CHAR(71+COUNTIF($C$1339:C1378,"Show")) &amp; (CHAR(71+COUNTIF($C$1339:C1378,"Show")) &amp; ".")))</f>
        <v>oo.</v>
      </c>
      <c r="H1379" s="111" t="s">
        <v>1910</v>
      </c>
    </row>
    <row r="1380" spans="2:8" ht="30" hidden="1" outlineLevel="2">
      <c r="B1380" s="12" t="s">
        <v>1919</v>
      </c>
      <c r="C1380" s="9" t="str">
        <f>IF('1. Criteria &amp; Spec Matrix'!E109='3. Dropdowns'!C116,"Show",
IF(AND('1. Criteria &amp; Spec Matrix'!C109="Show",'1. Criteria &amp; Spec Matrix'!E109=""),"Show","Hide"))</f>
        <v>Show</v>
      </c>
      <c r="F1380" s="78"/>
      <c r="G1380" s="70" t="str">
        <f>IF(COUNTIF($C$1339:C1379,"Show")&lt;25,(CHAR(97+COUNTIF($C$1339:C1379,"Show")) &amp; "."),(CHAR(71+COUNTIF($C$1339:C1379,"Show")) &amp; (CHAR(71+COUNTIF($C$1339:C1379,"Show")) &amp; ".")))</f>
        <v>pp.</v>
      </c>
      <c r="H1380" s="75" t="s">
        <v>1911</v>
      </c>
    </row>
    <row r="1381" spans="2:8" hidden="1" outlineLevel="2">
      <c r="B1381" s="12" t="s">
        <v>1920</v>
      </c>
      <c r="C1381" s="9" t="str">
        <f>IF('1. Criteria &amp; Spec Matrix'!E110='3. Dropdowns'!C116,"Show",
IF(AND('1. Criteria &amp; Spec Matrix'!C110="Show",'1. Criteria &amp; Spec Matrix'!E110=""),"Show","Hide"))</f>
        <v>Show</v>
      </c>
      <c r="F1381" s="78"/>
      <c r="G1381" s="70" t="str">
        <f>IF(COUNTIF($C$1339:C1380,"Show")&lt;25,(CHAR(97+COUNTIF($C$1339:C1380,"Show")) &amp; "."),(CHAR(71+COUNTIF($C$1339:C1380,"Show")) &amp; (CHAR(71+COUNTIF($C$1339:C1380,"Show")) &amp; ".")))</f>
        <v>qq.</v>
      </c>
      <c r="H1381" s="75" t="s">
        <v>1912</v>
      </c>
    </row>
    <row r="1382" spans="2:8" ht="30" hidden="1" outlineLevel="2">
      <c r="B1382" s="12" t="s">
        <v>1921</v>
      </c>
      <c r="C1382" s="9" t="str">
        <f>IF('1. Criteria &amp; Spec Matrix'!E111='3. Dropdowns'!C116,"Show",
IF(AND('1. Criteria &amp; Spec Matrix'!C111="Show",'1. Criteria &amp; Spec Matrix'!E111=""),"Show","Hide"))</f>
        <v>Show</v>
      </c>
      <c r="F1382" s="78"/>
      <c r="G1382" s="70" t="str">
        <f>IF(COUNTIF($C$1339:C1381,"Show")&lt;25,(CHAR(97+COUNTIF($C$1339:C1381,"Show")) &amp; "."),(CHAR(71+COUNTIF($C$1339:C1381,"Show")) &amp; (CHAR(71+COUNTIF($C$1339:C1381,"Show")) &amp; ".")))</f>
        <v>rr.</v>
      </c>
      <c r="H1382" s="111" t="s">
        <v>1913</v>
      </c>
    </row>
    <row r="1383" spans="2:8" ht="30" hidden="1" outlineLevel="2">
      <c r="B1383" s="12" t="s">
        <v>1915</v>
      </c>
      <c r="C1383" s="9" t="str">
        <f>IF('1. Criteria &amp; Spec Matrix'!E112='3. Dropdowns'!C116,"Show",
IF(AND('1. Criteria &amp; Spec Matrix'!C112="Show",'1. Criteria &amp; Spec Matrix'!E112=""),"Show","Hide"))</f>
        <v>Show</v>
      </c>
      <c r="F1383" s="78"/>
      <c r="G1383" s="70" t="str">
        <f>IF(COUNTIF($C$1339:C1382,"Show")&lt;25,(CHAR(97+COUNTIF($C$1339:C1382,"Show")) &amp; "."),(CHAR(71+COUNTIF($C$1339:C1382,"Show")) &amp; (CHAR(71+COUNTIF($C$1339:C1382,"Show")) &amp; ".")))</f>
        <v>ss.</v>
      </c>
      <c r="H1383" s="111" t="s">
        <v>1916</v>
      </c>
    </row>
    <row r="1384" spans="2:8" hidden="1" outlineLevel="2">
      <c r="B1384" s="12" t="s">
        <v>1828</v>
      </c>
      <c r="C1384" s="9" t="str">
        <f>IF('1. Criteria &amp; Spec Matrix'!E114='3. Dropdowns'!C116,"Show",
IF(AND('1. Criteria &amp; Spec Matrix'!C114="Show",'1. Criteria &amp; Spec Matrix'!E114=""),"Show","Hide"))</f>
        <v>Show</v>
      </c>
      <c r="F1384" s="78"/>
      <c r="G1384" s="70" t="str">
        <f>IF(COUNTIF($C$1339:C1383,"Show")&lt;25,(CHAR(97+COUNTIF($C$1339:C1383,"Show")) &amp; "."),(CHAR(71+COUNTIF($C$1339:C1383,"Show")) &amp; (CHAR(71+COUNTIF($C$1339:C1383,"Show")) &amp; ".")))</f>
        <v>tt.</v>
      </c>
      <c r="H1384" s="111" t="s">
        <v>1917</v>
      </c>
    </row>
    <row r="1385" spans="2:8" hidden="1" outlineLevel="2">
      <c r="B1385" s="12" t="s">
        <v>1926</v>
      </c>
      <c r="C1385" s="9" t="str">
        <f>IF('1. Criteria &amp; Spec Matrix'!E117='3. Dropdowns'!C116,"Show",
IF(AND('1. Criteria &amp; Spec Matrix'!C117="Show",'1. Criteria &amp; Spec Matrix'!E117=""),"Show","Hide"))</f>
        <v>Show</v>
      </c>
      <c r="F1385" s="78"/>
      <c r="G1385" s="70" t="str">
        <f>IF(COUNTIF($C$1339:C1384,"Show")&lt;25,(CHAR(97+COUNTIF($C$1339:C1384,"Show")) &amp; "."),(CHAR(71+COUNTIF($C$1339:C1384,"Show")) &amp; (CHAR(71+COUNTIF($C$1339:C1384,"Show")) &amp; ".")))</f>
        <v>uu.</v>
      </c>
      <c r="H1385" s="111" t="s">
        <v>1922</v>
      </c>
    </row>
    <row r="1386" spans="2:8" ht="30" hidden="1" outlineLevel="2">
      <c r="B1386" s="12" t="s">
        <v>1927</v>
      </c>
      <c r="C1386" s="9" t="str">
        <f>IF('1. Criteria &amp; Spec Matrix'!E118='3. Dropdowns'!C116,"Show",
IF(AND('1. Criteria &amp; Spec Matrix'!C118="Show",'1. Criteria &amp; Spec Matrix'!E118=""),"Show","Hide"))</f>
        <v>Show</v>
      </c>
      <c r="F1386" s="78"/>
      <c r="G1386" s="70" t="str">
        <f>IF(COUNTIF($C$1339:C1385,"Show")&lt;25,(CHAR(97+COUNTIF($C$1339:C1385,"Show")) &amp; "."),(CHAR(71+COUNTIF($C$1339:C1385,"Show")) &amp; (CHAR(71+COUNTIF($C$1339:C1385,"Show")) &amp; ".")))</f>
        <v>vv.</v>
      </c>
      <c r="H1386" s="75" t="s">
        <v>1923</v>
      </c>
    </row>
    <row r="1387" spans="2:8" hidden="1" outlineLevel="2">
      <c r="B1387" s="12" t="s">
        <v>1830</v>
      </c>
      <c r="C1387" s="9" t="str">
        <f>IF('1. Criteria &amp; Spec Matrix'!E119='3. Dropdowns'!C116,"Show",
IF(AND('1. Criteria &amp; Spec Matrix'!C119="Show",'1. Criteria &amp; Spec Matrix'!E119=""),"Show","Hide"))</f>
        <v>Show</v>
      </c>
      <c r="F1387" s="78"/>
      <c r="G1387" s="70" t="str">
        <f>IF(COUNTIF($C$1339:C1386,"Show")&lt;25,(CHAR(97+COUNTIF($C$1339:C1386,"Show")) &amp; "."),(CHAR(71+COUNTIF($C$1339:C1386,"Show")) &amp; (CHAR(71+COUNTIF($C$1339:C1386,"Show")) &amp; ".")))</f>
        <v>ww.</v>
      </c>
      <c r="H1387" s="111" t="s">
        <v>1924</v>
      </c>
    </row>
    <row r="1388" spans="2:8" hidden="1" outlineLevel="2">
      <c r="B1388" s="12" t="s">
        <v>1928</v>
      </c>
      <c r="C1388" s="9" t="str">
        <f>IF('1. Criteria &amp; Spec Matrix'!E120='3. Dropdowns'!C116,"Show",
IF(AND('1. Criteria &amp; Spec Matrix'!C120="Show",'1. Criteria &amp; Spec Matrix'!E120=""),"Show","Hide"))</f>
        <v>Show</v>
      </c>
      <c r="F1388" s="78"/>
      <c r="G1388" s="70" t="str">
        <f>IF(COUNTIF($C$1339:C1387,"Show")&lt;25,(CHAR(97+COUNTIF($C$1339:C1387,"Show")) &amp; "."),(CHAR(71+COUNTIF($C$1339:C1387,"Show")) &amp; (CHAR(71+COUNTIF($C$1339:C1387,"Show")) &amp; ".")))</f>
        <v>xx.</v>
      </c>
      <c r="H1388" s="111" t="s">
        <v>1925</v>
      </c>
    </row>
    <row r="1389" spans="2:8" hidden="1" outlineLevel="2">
      <c r="B1389" s="12" t="s">
        <v>1831</v>
      </c>
      <c r="C1389" s="9" t="str">
        <f>IF('1. Criteria &amp; Spec Matrix'!E123='3. Dropdowns'!C116,"Show",
IF(AND('1. Criteria &amp; Spec Matrix'!C123="Show",'1. Criteria &amp; Spec Matrix'!E123=""),"Show","Hide"))</f>
        <v>Show</v>
      </c>
      <c r="F1389" s="78"/>
      <c r="G1389" s="70" t="str">
        <f>IF(COUNTIF($C$1339:C1388,"Show")&lt;25,(CHAR(97+COUNTIF($C$1339:C1388,"Show")) &amp; "."),(CHAR(71+COUNTIF($C$1339:C1388,"Show")) &amp; (CHAR(71+COUNTIF($C$1339:C1388,"Show")) &amp; ".")))</f>
        <v>yy.</v>
      </c>
      <c r="H1389" s="111" t="s">
        <v>1929</v>
      </c>
    </row>
    <row r="1390" spans="2:8" hidden="1" outlineLevel="2">
      <c r="B1390" s="12" t="s">
        <v>1832</v>
      </c>
      <c r="C1390" s="9" t="str">
        <f>IF('1. Criteria &amp; Spec Matrix'!E124='3. Dropdowns'!C116,"Show",
IF(AND('1. Criteria &amp; Spec Matrix'!C124="Show",'1. Criteria &amp; Spec Matrix'!E124=""),"Show","Hide"))</f>
        <v>Show</v>
      </c>
      <c r="F1390" s="78"/>
      <c r="G1390" s="70" t="str">
        <f>IF(COUNTIF($C$1339:C1389,"Show")&lt;25,(CHAR(97+COUNTIF($C$1339:C1389,"Show")) &amp; "."),(CHAR(71+COUNTIF($C$1339:C1389,"Show")) &amp; (CHAR(71+COUNTIF($C$1339:C1389,"Show")) &amp; ".")))</f>
        <v>zz.</v>
      </c>
      <c r="H1390" s="111" t="s">
        <v>1930</v>
      </c>
    </row>
    <row r="1391" spans="2:8" hidden="1" outlineLevel="2">
      <c r="B1391" s="12" t="s">
        <v>1934</v>
      </c>
      <c r="C1391" s="9" t="str">
        <f>IF('1. Criteria &amp; Spec Matrix'!E125='3. Dropdowns'!C116,"Show",
IF(AND('1. Criteria &amp; Spec Matrix'!C125="Show",'1. Criteria &amp; Spec Matrix'!E125=""),"Show","Hide"))</f>
        <v>Show</v>
      </c>
      <c r="F1391" s="78"/>
      <c r="G1391" s="70" t="str">
        <f>IF(COUNTIF($C$1339:C1390,"Show")&lt;25,(CHAR(97+COUNTIF($C$1339:C1390,"Show")) &amp; "."),
IF(COUNTIF($C$1339:C1390,"Show")&lt;50,(CHAR(71+COUNTIF($C$1339:C1390,"Show")) &amp; (CHAR(71+COUNTIF($C$1339:C1390,"Show")) &amp; ".")),
(CHAR(45+COUNTIF($C$1339:C1390,"Show")) &amp; (CHAR(45+COUNTIF($C$1339:C1390,"Show"))&amp; (CHAR(45+COUNTIF($C$1339:C1390,"Show")) &amp; ".")))))</f>
        <v>aaa.</v>
      </c>
      <c r="H1391" s="111" t="s">
        <v>1931</v>
      </c>
    </row>
    <row r="1392" spans="2:8" hidden="1" outlineLevel="2">
      <c r="B1392" s="12" t="s">
        <v>1833</v>
      </c>
      <c r="C1392" s="9" t="str">
        <f>IF('1. Criteria &amp; Spec Matrix'!E126='3. Dropdowns'!C116,"Show",
IF(AND('1. Criteria &amp; Spec Matrix'!C126="Show",'1. Criteria &amp; Spec Matrix'!E126=""),"Show","Hide"))</f>
        <v>Show</v>
      </c>
      <c r="F1392" s="78"/>
      <c r="G1392" s="70" t="str">
        <f>IF(COUNTIF($C$1339:C1391,"Show")&lt;25,(CHAR(97+COUNTIF($C$1339:C1391,"Show")) &amp; "."),
IF(COUNTIF($C$1339:C1391,"Show")&lt;50,(CHAR(71+COUNTIF($C$1339:C1391,"Show")) &amp; (CHAR(71+COUNTIF($C$1339:C1391,"Show")) &amp; ".")),
(CHAR(45+COUNTIF($C$1339:C1391,"Show")) &amp; (CHAR(45+COUNTIF($C$1339:C1391,"Show"))&amp; (CHAR(45+COUNTIF($C$1339:C1391,"Show")) &amp; ".")))))</f>
        <v>bbb.</v>
      </c>
      <c r="H1392" s="111" t="s">
        <v>1932</v>
      </c>
    </row>
    <row r="1393" spans="2:8" hidden="1" outlineLevel="2">
      <c r="B1393" s="12" t="s">
        <v>1834</v>
      </c>
      <c r="C1393" s="9" t="str">
        <f>IF('1. Criteria &amp; Spec Matrix'!E127='3. Dropdowns'!C116,"Show",
IF(AND('1. Criteria &amp; Spec Matrix'!C127="Show",'1. Criteria &amp; Spec Matrix'!E127=""),"Show","Hide"))</f>
        <v>Show</v>
      </c>
      <c r="F1393" s="78"/>
      <c r="G1393" s="70" t="str">
        <f>IF(COUNTIF($C$1339:C1392,"Show")&lt;25,(CHAR(97+COUNTIF($C$1339:C1392,"Show")) &amp; "."),
IF(COUNTIF($C$1339:C1392,"Show")&lt;50,(CHAR(71+COUNTIF($C$1339:C1392,"Show")) &amp; (CHAR(71+COUNTIF($C$1339:C1392,"Show")) &amp; ".")),
(CHAR(45+COUNTIF($C$1339:C1392,"Show")) &amp; (CHAR(45+COUNTIF($C$1339:C1392,"Show"))&amp; (CHAR(45+COUNTIF($C$1339:C1392,"Show")) &amp; ".")))))</f>
        <v>ccc.</v>
      </c>
      <c r="H1393" s="111" t="s">
        <v>1933</v>
      </c>
    </row>
    <row r="1394" spans="2:8" ht="30" hidden="1" outlineLevel="2">
      <c r="B1394" s="12" t="s">
        <v>1940</v>
      </c>
      <c r="C1394" s="9" t="str">
        <f>IF('1. Criteria &amp; Spec Matrix'!E129='3. Dropdowns'!C116,"Show",
IF(AND('1. Criteria &amp; Spec Matrix'!C129="Show",'1. Criteria &amp; Spec Matrix'!E129=""),"Show","Hide"))</f>
        <v>Show</v>
      </c>
      <c r="F1394" s="78"/>
      <c r="G1394" s="70" t="str">
        <f>IF(COUNTIF($C$1339:C1393,"Show")&lt;25,(CHAR(97+COUNTIF($C$1339:C1393,"Show")) &amp; "."),
IF(COUNTIF($C$1339:C1393,"Show")&lt;50,(CHAR(71+COUNTIF($C$1339:C1393,"Show")) &amp; (CHAR(71+COUNTIF($C$1339:C1393,"Show")) &amp; ".")),
(CHAR(45+COUNTIF($C$1339:C1393,"Show")) &amp; (CHAR(45+COUNTIF($C$1339:C1393,"Show"))&amp; (CHAR(45+COUNTIF($C$1339:C1393,"Show")) &amp; ".")))))</f>
        <v>ddd.</v>
      </c>
      <c r="H1394" s="28" t="s">
        <v>1935</v>
      </c>
    </row>
    <row r="1395" spans="2:8" hidden="1" outlineLevel="2">
      <c r="B1395" s="12" t="s">
        <v>1835</v>
      </c>
      <c r="C1395" s="9" t="str">
        <f>IF('1. Criteria &amp; Spec Matrix'!E130='3. Dropdowns'!C116,"Show",
IF(AND('1. Criteria &amp; Spec Matrix'!C130="Show",'1. Criteria &amp; Spec Matrix'!E130=""),"Show","Hide"))</f>
        <v>Show</v>
      </c>
      <c r="F1395" s="78"/>
      <c r="G1395" s="70" t="str">
        <f>IF(COUNTIF($C$1339:C1394,"Show")&lt;25,(CHAR(97+COUNTIF($C$1339:C1394,"Show")) &amp; "."),
IF(COUNTIF($C$1339:C1394,"Show")&lt;50,(CHAR(71+COUNTIF($C$1339:C1394,"Show")) &amp; (CHAR(71+COUNTIF($C$1339:C1394,"Show")) &amp; ".")),
(CHAR(45+COUNTIF($C$1339:C1394,"Show")) &amp; (CHAR(45+COUNTIF($C$1339:C1394,"Show"))&amp; (CHAR(45+COUNTIF($C$1339:C1394,"Show")) &amp; ".")))))</f>
        <v>eee.</v>
      </c>
      <c r="H1395" s="28" t="s">
        <v>1936</v>
      </c>
    </row>
    <row r="1396" spans="2:8" ht="30" hidden="1" outlineLevel="2">
      <c r="B1396" s="12" t="s">
        <v>1941</v>
      </c>
      <c r="C1396" s="9" t="str">
        <f>IF('1. Criteria &amp; Spec Matrix'!E131='3. Dropdowns'!C116,"Show",
IF(AND('1. Criteria &amp; Spec Matrix'!C131="Show",'1. Criteria &amp; Spec Matrix'!E131=""),"Show","Hide"))</f>
        <v>Show</v>
      </c>
      <c r="F1396" s="78"/>
      <c r="G1396" s="70" t="str">
        <f>IF(COUNTIF($C$1339:C1395,"Show")&lt;25,(CHAR(97+COUNTIF($C$1339:C1395,"Show")) &amp; "."),
IF(COUNTIF($C$1339:C1395,"Show")&lt;50,(CHAR(71+COUNTIF($C$1339:C1395,"Show")) &amp; (CHAR(71+COUNTIF($C$1339:C1395,"Show")) &amp; ".")),
(CHAR(45+COUNTIF($C$1339:C1395,"Show")) &amp; (CHAR(45+COUNTIF($C$1339:C1395,"Show"))&amp; (CHAR(45+COUNTIF($C$1339:C1395,"Show")) &amp; ".")))))</f>
        <v>fff.</v>
      </c>
      <c r="H1396" s="111" t="s">
        <v>1937</v>
      </c>
    </row>
    <row r="1397" spans="2:8" ht="30" hidden="1" outlineLevel="2">
      <c r="B1397" s="12" t="s">
        <v>1942</v>
      </c>
      <c r="C1397" s="9" t="str">
        <f>IF('1. Criteria &amp; Spec Matrix'!E132='3. Dropdowns'!C116,"Show",
IF(AND('1. Criteria &amp; Spec Matrix'!C132="Show",'1. Criteria &amp; Spec Matrix'!E132=""),"Show","Hide"))</f>
        <v>Show</v>
      </c>
      <c r="F1397" s="78"/>
      <c r="G1397" s="70" t="str">
        <f>IF(COUNTIF($C$1339:C1396,"Show")&lt;25,(CHAR(97+COUNTIF($C$1339:C1396,"Show")) &amp; "."),
IF(COUNTIF($C$1339:C1396,"Show")&lt;50,(CHAR(71+COUNTIF($C$1339:C1396,"Show")) &amp; (CHAR(71+COUNTIF($C$1339:C1396,"Show")) &amp; ".")),
(CHAR(45+COUNTIF($C$1339:C1396,"Show")) &amp; (CHAR(45+COUNTIF($C$1339:C1396,"Show"))&amp; (CHAR(45+COUNTIF($C$1339:C1396,"Show")) &amp; ".")))))</f>
        <v>ggg.</v>
      </c>
      <c r="H1397" s="28" t="s">
        <v>1938</v>
      </c>
    </row>
    <row r="1398" spans="2:8" ht="30" hidden="1" outlineLevel="2">
      <c r="B1398" s="11" t="s">
        <v>1943</v>
      </c>
      <c r="C1398" s="9" t="str">
        <f>IF('1. Criteria &amp; Spec Matrix'!E133='3. Dropdowns'!C116,"Show",
IF(AND('1. Criteria &amp; Spec Matrix'!C133="Show",'1. Criteria &amp; Spec Matrix'!E133=""),"Show","Hide"))</f>
        <v>Show</v>
      </c>
      <c r="F1398" s="78"/>
      <c r="G1398" s="70" t="str">
        <f>IF(COUNTIF($C$1339:C1397,"Show")&lt;25,(CHAR(97+COUNTIF($C$1339:C1397,"Show")) &amp; "."),
IF(COUNTIF($C$1339:C1397,"Show")&lt;50,(CHAR(71+COUNTIF($C$1339:C1397,"Show")) &amp; (CHAR(71+COUNTIF($C$1339:C1397,"Show")) &amp; ".")),
(CHAR(45+COUNTIF($C$1339:C1397,"Show")) &amp; (CHAR(45+COUNTIF($C$1339:C1397,"Show"))&amp; (CHAR(45+COUNTIF($C$1339:C1397,"Show")) &amp; ".")))))</f>
        <v>hhh.</v>
      </c>
      <c r="H1398" s="75" t="s">
        <v>1939</v>
      </c>
    </row>
    <row r="1399" spans="2:8" hidden="1" outlineLevel="2">
      <c r="B1399" s="12" t="s">
        <v>1949</v>
      </c>
      <c r="C1399" s="9" t="str">
        <f>IF('1. Criteria &amp; Spec Matrix'!E136='3. Dropdowns'!C116,"Show",
IF(AND('1. Criteria &amp; Spec Matrix'!C136="Show",'1. Criteria &amp; Spec Matrix'!E136=""),"Show","Hide"))</f>
        <v>Show</v>
      </c>
      <c r="F1399" s="78"/>
      <c r="G1399" s="70" t="str">
        <f>IF(COUNTIF($C$1339:C1398,"Show")&lt;25,(CHAR(97+COUNTIF($C$1339:C1398,"Show")) &amp; "."),
IF(COUNTIF($C$1339:C1398,"Show")&lt;50,(CHAR(71+COUNTIF($C$1339:C1398,"Show")) &amp; (CHAR(71+COUNTIF($C$1339:C1398,"Show")) &amp; ".")),
(CHAR(45+COUNTIF($C$1339:C1398,"Show")) &amp; (CHAR(45+COUNTIF($C$1339:C1398,"Show"))&amp; (CHAR(45+COUNTIF($C$1339:C1398,"Show")) &amp; ".")))))</f>
        <v>iii.</v>
      </c>
      <c r="H1399" s="111" t="s">
        <v>1944</v>
      </c>
    </row>
    <row r="1400" spans="2:8" ht="45" hidden="1" outlineLevel="2">
      <c r="B1400" s="12" t="s">
        <v>1836</v>
      </c>
      <c r="C1400" s="9" t="str">
        <f>IF('1. Criteria &amp; Spec Matrix'!E137='3. Dropdowns'!C116,"Show",
IF(AND('1. Criteria &amp; Spec Matrix'!C137="Show",'1. Criteria &amp; Spec Matrix'!E137=""),"Show","Hide"))</f>
        <v>Show</v>
      </c>
      <c r="F1400" s="78"/>
      <c r="G1400" s="70" t="str">
        <f>IF(COUNTIF($C$1339:C1399,"Show")&lt;25,(CHAR(97+COUNTIF($C$1339:C1399,"Show")) &amp; "."),
IF(COUNTIF($C$1339:C1399,"Show")&lt;50,(CHAR(71+COUNTIF($C$1339:C1399,"Show")) &amp; (CHAR(71+COUNTIF($C$1339:C1399,"Show")) &amp; ".")),
(CHAR(45+COUNTIF($C$1339:C1399,"Show")) &amp; (CHAR(45+COUNTIF($C$1339:C1399,"Show"))&amp; (CHAR(45+COUNTIF($C$1339:C1399,"Show")) &amp; ".")))))</f>
        <v>jjj.</v>
      </c>
      <c r="H1400" s="75" t="s">
        <v>1945</v>
      </c>
    </row>
    <row r="1401" spans="2:8" hidden="1" outlineLevel="2">
      <c r="B1401" s="12" t="s">
        <v>1950</v>
      </c>
      <c r="C1401" s="9" t="str">
        <f>IF('1. Criteria &amp; Spec Matrix'!E138='3. Dropdowns'!C116,"Show",
IF(AND('1. Criteria &amp; Spec Matrix'!C138="Show",'1. Criteria &amp; Spec Matrix'!E138=""),"Show","Hide"))</f>
        <v>Show</v>
      </c>
      <c r="F1401" s="78"/>
      <c r="G1401" s="70" t="str">
        <f>IF(COUNTIF($C$1339:C1400,"Show")&lt;25,(CHAR(97+COUNTIF($C$1339:C1400,"Show")) &amp; "."),
IF(COUNTIF($C$1339:C1400,"Show")&lt;50,(CHAR(71+COUNTIF($C$1339:C1400,"Show")) &amp; (CHAR(71+COUNTIF($C$1339:C1400,"Show")) &amp; ".")),
(CHAR(45+COUNTIF($C$1339:C1400,"Show")) &amp; (CHAR(45+COUNTIF($C$1339:C1400,"Show"))&amp; (CHAR(45+COUNTIF($C$1339:C1400,"Show")) &amp; ".")))))</f>
        <v>kkk.</v>
      </c>
      <c r="H1401" s="111" t="s">
        <v>1946</v>
      </c>
    </row>
    <row r="1402" spans="2:8" hidden="1" outlineLevel="2">
      <c r="B1402" s="12" t="s">
        <v>1951</v>
      </c>
      <c r="C1402" s="9" t="str">
        <f>IF('1. Criteria &amp; Spec Matrix'!E139='3. Dropdowns'!C116,"Show",
IF(AND('1. Criteria &amp; Spec Matrix'!C139="Show",'1. Criteria &amp; Spec Matrix'!E139=""),"Show","Hide"))</f>
        <v>Show</v>
      </c>
      <c r="F1402" s="78"/>
      <c r="G1402" s="70" t="str">
        <f>IF(COUNTIF($C$1339:C1401,"Show")&lt;25,(CHAR(97+COUNTIF($C$1339:C1401,"Show")) &amp; "."),
IF(COUNTIF($C$1339:C1401,"Show")&lt;50,(CHAR(71+COUNTIF($C$1339:C1401,"Show")) &amp; (CHAR(71+COUNTIF($C$1339:C1401,"Show")) &amp; ".")),
(CHAR(45+COUNTIF($C$1339:C1401,"Show")) &amp; (CHAR(45+COUNTIF($C$1339:C1401,"Show"))&amp; (CHAR(45+COUNTIF($C$1339:C1401,"Show")) &amp; ".")))))</f>
        <v>lll.</v>
      </c>
      <c r="H1402" s="111" t="s">
        <v>1947</v>
      </c>
    </row>
    <row r="1403" spans="2:8" ht="30" hidden="1" outlineLevel="2">
      <c r="B1403" s="12" t="s">
        <v>1952</v>
      </c>
      <c r="C1403" s="9" t="str">
        <f>IF('1. Criteria &amp; Spec Matrix'!E140='3. Dropdowns'!C116,"Show",
IF(AND('1. Criteria &amp; Spec Matrix'!C140="Show",'1. Criteria &amp; Spec Matrix'!E140=""),"Show","Hide"))</f>
        <v>Show</v>
      </c>
      <c r="F1403" s="78"/>
      <c r="G1403" s="70" t="str">
        <f>IF(COUNTIF($C$1339:C1402,"Show")&lt;25,(CHAR(97+COUNTIF($C$1339:C1402,"Show")) &amp; "."),
IF(COUNTIF($C$1339:C1402,"Show")&lt;50,(CHAR(71+COUNTIF($C$1339:C1402,"Show")) &amp; (CHAR(71+COUNTIF($C$1339:C1402,"Show")) &amp; ".")),
(CHAR(45+COUNTIF($C$1339:C1402,"Show")) &amp; (CHAR(45+COUNTIF($C$1339:C1402,"Show"))&amp; (CHAR(45+COUNTIF($C$1339:C1402,"Show")) &amp; ".")))))</f>
        <v>mmm.</v>
      </c>
      <c r="H1403" s="28" t="s">
        <v>1948</v>
      </c>
    </row>
    <row r="1404" spans="2:8" hidden="1" outlineLevel="2">
      <c r="B1404" s="12" t="s">
        <v>716</v>
      </c>
      <c r="C1404" s="7" t="str">
        <f>IF(COUNTIF(C1405:C1423,"Show")&gt;0,"Show","Hide")</f>
        <v>Show</v>
      </c>
      <c r="F1404" s="78" t="str">
        <f>(3+COUNTIF(C1304,"Show")+COUNTIF(C1313,"Show")+COUNTIF(C1315,"Show")+COUNTIF(C1318,"Show")+COUNTIF(C1322,"Show")+COUNTIF(C1335,"Show")+COUNTIF(C1338,"Show")) &amp; "."</f>
        <v>10.</v>
      </c>
      <c r="G1404" s="71" t="s">
        <v>2448</v>
      </c>
      <c r="H1404" s="28"/>
    </row>
    <row r="1405" spans="2:8" ht="45" hidden="1" outlineLevel="2">
      <c r="B1405" s="12" t="s">
        <v>717</v>
      </c>
      <c r="C1405" s="2" t="str">
        <f>IF('1. Criteria &amp; Spec Matrix'!E141='3. Dropdowns'!C118,"Show",
IF(AND('1. Criteria &amp; Spec Matrix'!C141="Show",'1. Criteria &amp; Spec Matrix'!E141=""),"Show","Hide"))</f>
        <v>Show</v>
      </c>
      <c r="F1405" s="78"/>
      <c r="G1405" s="70" t="s">
        <v>133</v>
      </c>
      <c r="H1405" s="28" t="s">
        <v>3032</v>
      </c>
    </row>
    <row r="1406" spans="2:8" ht="30" hidden="1" outlineLevel="2">
      <c r="B1406" s="12" t="s">
        <v>717</v>
      </c>
      <c r="C1406" s="2" t="str">
        <f>C1405</f>
        <v>Show</v>
      </c>
      <c r="F1406" s="78"/>
      <c r="G1406" s="70" t="str">
        <f>CHAR(97+COUNTIF($C$1405:C1405,"Show")) &amp; "."</f>
        <v>b.</v>
      </c>
      <c r="H1406" s="28" t="s">
        <v>3033</v>
      </c>
    </row>
    <row r="1407" spans="2:8" ht="15.95" hidden="1" customHeight="1" outlineLevel="2">
      <c r="B1407" s="12" t="s">
        <v>717</v>
      </c>
      <c r="C1407" s="2" t="str">
        <f>C1406</f>
        <v>Show</v>
      </c>
      <c r="F1407" s="78"/>
      <c r="G1407" s="70" t="str">
        <f>CHAR(97+COUNTIF($C$1405:C1406,"Show")) &amp; "."</f>
        <v>c.</v>
      </c>
      <c r="H1407" s="28" t="s">
        <v>3034</v>
      </c>
    </row>
    <row r="1408" spans="2:8" ht="30" hidden="1" outlineLevel="2">
      <c r="B1408" s="12" t="s">
        <v>1992</v>
      </c>
      <c r="C1408" s="9" t="str">
        <f>IF('1. Criteria &amp; Spec Matrix'!E144='3. Dropdowns'!C116,"Show",
IF(AND('1. Criteria &amp; Spec Matrix'!C144="Show",'1. Criteria &amp; Spec Matrix'!E144=""),"Show","Hide"))</f>
        <v>Show</v>
      </c>
      <c r="F1408" s="78"/>
      <c r="G1408" s="70" t="str">
        <f>CHAR(97+COUNTIF($C$1405:C1407,"Show")) &amp; "."</f>
        <v>d.</v>
      </c>
      <c r="H1408" s="28" t="s">
        <v>1987</v>
      </c>
    </row>
    <row r="1409" spans="2:8" ht="30" hidden="1" outlineLevel="2">
      <c r="B1409" s="12" t="s">
        <v>1968</v>
      </c>
      <c r="C1409" s="9" t="str">
        <f>IF('1. Criteria &amp; Spec Matrix'!E145='3. Dropdowns'!C116,"Show",
IF(AND('1. Criteria &amp; Spec Matrix'!C145="Show",'1. Criteria &amp; Spec Matrix'!E145=""),"Show","Hide"))</f>
        <v>Show</v>
      </c>
      <c r="F1409" s="78"/>
      <c r="G1409" s="70" t="str">
        <f>CHAR(97+COUNTIF($C$1405:C1408,"Show")) &amp; "."</f>
        <v>e.</v>
      </c>
      <c r="H1409" s="28" t="s">
        <v>1988</v>
      </c>
    </row>
    <row r="1410" spans="2:8" hidden="1" outlineLevel="2">
      <c r="B1410" s="12" t="s">
        <v>1970</v>
      </c>
      <c r="C1410" s="9" t="str">
        <f>IF('1. Criteria &amp; Spec Matrix'!E147='3. Dropdowns'!C116,"Show",
IF(AND('1. Criteria &amp; Spec Matrix'!C147="Show",'1. Criteria &amp; Spec Matrix'!E147=""),"Show","Hide"))</f>
        <v>Show</v>
      </c>
      <c r="F1410" s="78"/>
      <c r="G1410" s="70" t="str">
        <f>CHAR(97+COUNTIF($C$1405:C1409,"Show")) &amp; "."</f>
        <v>f.</v>
      </c>
      <c r="H1410" s="28" t="s">
        <v>1989</v>
      </c>
    </row>
    <row r="1411" spans="2:8" ht="30" hidden="1" outlineLevel="2">
      <c r="B1411" s="12" t="s">
        <v>1993</v>
      </c>
      <c r="C1411" s="9" t="str">
        <f>IF('1. Criteria &amp; Spec Matrix'!E150='3. Dropdowns'!C116,"Show",
IF(AND('1. Criteria &amp; Spec Matrix'!C150="Show",'1. Criteria &amp; Spec Matrix'!E150=""),"Show","Hide"))</f>
        <v>Show</v>
      </c>
      <c r="F1411" s="78"/>
      <c r="G1411" s="70" t="str">
        <f>CHAR(97+COUNTIF($C$1405:C1410,"Show")) &amp; "."</f>
        <v>g.</v>
      </c>
      <c r="H1411" s="28" t="s">
        <v>1990</v>
      </c>
    </row>
    <row r="1412" spans="2:8" ht="30" hidden="1" outlineLevel="2">
      <c r="B1412" s="12" t="s">
        <v>1986</v>
      </c>
      <c r="C1412" s="9" t="str">
        <f>IF('1. Criteria &amp; Spec Matrix'!E151='3. Dropdowns'!C116,"Show",
IF(AND('1. Criteria &amp; Spec Matrix'!C151="Show",'1. Criteria &amp; Spec Matrix'!E151=""),"Show","Hide"))</f>
        <v>Show</v>
      </c>
      <c r="F1412" s="78"/>
      <c r="G1412" s="70" t="str">
        <f>CHAR(97+COUNTIF($C$1405:C1411,"Show")) &amp; "."</f>
        <v>h.</v>
      </c>
      <c r="H1412" s="28" t="s">
        <v>1991</v>
      </c>
    </row>
    <row r="1413" spans="2:8" ht="30" hidden="1" outlineLevel="2">
      <c r="B1413" s="12" t="s">
        <v>1996</v>
      </c>
      <c r="C1413" s="9" t="str">
        <f>IF('1. Criteria &amp; Spec Matrix'!E153='3. Dropdowns'!C116,"Show",
IF(AND('1. Criteria &amp; Spec Matrix'!C153="Show",'1. Criteria &amp; Spec Matrix'!E153=""),"Show","Hide"))</f>
        <v>Show</v>
      </c>
      <c r="F1413" s="78"/>
      <c r="G1413" s="70" t="str">
        <f>CHAR(97+COUNTIF($C$1405:C1412,"Show")) &amp; "."</f>
        <v>i.</v>
      </c>
      <c r="H1413" s="28" t="s">
        <v>1998</v>
      </c>
    </row>
    <row r="1414" spans="2:8" ht="30" hidden="1" outlineLevel="2">
      <c r="B1414" s="12" t="s">
        <v>1997</v>
      </c>
      <c r="C1414" s="9" t="str">
        <f>IF('1. Criteria &amp; Spec Matrix'!E154='3. Dropdowns'!C116,"Show",
IF(AND('1. Criteria &amp; Spec Matrix'!C154="Show",'1. Criteria &amp; Spec Matrix'!E154=""),"Show","Hide"))</f>
        <v>Show</v>
      </c>
      <c r="F1414" s="78"/>
      <c r="G1414" s="70" t="str">
        <f>CHAR(97+COUNTIF($C$1405:C1413,"Show")) &amp; "."</f>
        <v>j.</v>
      </c>
      <c r="H1414" s="28" t="s">
        <v>1994</v>
      </c>
    </row>
    <row r="1415" spans="2:8" ht="30" hidden="1" outlineLevel="2">
      <c r="B1415" s="12" t="s">
        <v>1972</v>
      </c>
      <c r="C1415" s="9" t="str">
        <f>IF('1. Criteria &amp; Spec Matrix'!E155='3. Dropdowns'!C116,"Show",
IF(AND('1. Criteria &amp; Spec Matrix'!C155="Show",'1. Criteria &amp; Spec Matrix'!E155=""),"Show","Hide"))</f>
        <v>Show</v>
      </c>
      <c r="F1415" s="78"/>
      <c r="G1415" s="70" t="str">
        <f>CHAR(97+COUNTIF($C$1405:C1414,"Show")) &amp; "."</f>
        <v>k.</v>
      </c>
      <c r="H1415" s="28" t="s">
        <v>1995</v>
      </c>
    </row>
    <row r="1416" spans="2:8" ht="45" hidden="1" outlineLevel="2">
      <c r="B1416" s="12" t="s">
        <v>1973</v>
      </c>
      <c r="C1416" s="9" t="str">
        <f>IF('1. Criteria &amp; Spec Matrix'!E156='3. Dropdowns'!C116,"Show",
IF(AND('1. Criteria &amp; Spec Matrix'!C156="Show",'1. Criteria &amp; Spec Matrix'!E156=""),"Show","Hide"))</f>
        <v>Show</v>
      </c>
      <c r="F1416" s="78"/>
      <c r="G1416" s="70" t="str">
        <f>CHAR(97+COUNTIF($C$1405:C1415,"Show")) &amp; "."</f>
        <v>l.</v>
      </c>
      <c r="H1416" s="28" t="s">
        <v>2585</v>
      </c>
    </row>
    <row r="1417" spans="2:8" ht="45" hidden="1" outlineLevel="2">
      <c r="B1417" s="12" t="s">
        <v>1974</v>
      </c>
      <c r="C1417" s="9" t="str">
        <f>IF('1. Criteria &amp; Spec Matrix'!E158='3. Dropdowns'!C116,"Show",
IF(AND('1. Criteria &amp; Spec Matrix'!C158="Show",'1. Criteria &amp; Spec Matrix'!E158=""),"Show","Hide"))</f>
        <v>Show</v>
      </c>
      <c r="F1417" s="78"/>
      <c r="G1417" s="70" t="str">
        <f>CHAR(97+COUNTIF($C$1405:C1416,"Show")) &amp; "."</f>
        <v>m.</v>
      </c>
      <c r="H1417" s="28" t="s">
        <v>1999</v>
      </c>
    </row>
    <row r="1418" spans="2:8" ht="30" hidden="1" outlineLevel="2">
      <c r="B1418" s="12" t="s">
        <v>1975</v>
      </c>
      <c r="C1418" s="9" t="str">
        <f>IF('1. Criteria &amp; Spec Matrix'!E159='3. Dropdowns'!C116,"Show",
IF(AND('1. Criteria &amp; Spec Matrix'!C159="Show",'1. Criteria &amp; Spec Matrix'!E159=""),"Show","Hide"))</f>
        <v>Show</v>
      </c>
      <c r="F1418" s="78"/>
      <c r="G1418" s="70" t="str">
        <f>CHAR(97+COUNTIF($C$1405:C1417,"Show")) &amp; "."</f>
        <v>n.</v>
      </c>
      <c r="H1418" s="28" t="s">
        <v>2000</v>
      </c>
    </row>
    <row r="1419" spans="2:8" hidden="1" outlineLevel="2">
      <c r="B1419" s="12" t="s">
        <v>1976</v>
      </c>
      <c r="C1419" s="9" t="str">
        <f>IF('1. Criteria &amp; Spec Matrix'!E160='3. Dropdowns'!C116,"Show",
IF(AND('1. Criteria &amp; Spec Matrix'!C160="Show",'1. Criteria &amp; Spec Matrix'!E160=""),"Show","Hide"))</f>
        <v>Show</v>
      </c>
      <c r="F1419" s="78"/>
      <c r="G1419" s="70" t="str">
        <f>CHAR(97+COUNTIF($C$1405:C1418,"Show")) &amp; "."</f>
        <v>o.</v>
      </c>
      <c r="H1419" s="28" t="s">
        <v>2001</v>
      </c>
    </row>
    <row r="1420" spans="2:8" ht="30" hidden="1" outlineLevel="2">
      <c r="B1420" s="12" t="s">
        <v>1965</v>
      </c>
      <c r="C1420" s="9" t="str">
        <f>IF('1. Criteria &amp; Spec Matrix'!E141='3. Dropdowns'!C119,"Show",
IF(AND('1. Criteria &amp; Spec Matrix'!C141="Show",'1. Criteria &amp; Spec Matrix'!E141=""),"Show","Hide"))</f>
        <v>Show</v>
      </c>
      <c r="F1420" s="78"/>
      <c r="G1420" s="70" t="str">
        <f>CHAR(97+COUNTIF($C$1405:C1419,"Show")) &amp; "."</f>
        <v>p.</v>
      </c>
      <c r="H1420" s="75" t="s">
        <v>1964</v>
      </c>
    </row>
    <row r="1421" spans="2:8" hidden="1" outlineLevel="2">
      <c r="B1421" s="11" t="s">
        <v>722</v>
      </c>
      <c r="C1421" s="9" t="str">
        <f>IF('1. Criteria &amp; Spec Matrix'!E141='3. Dropdowns'!C120,"Show",
IF(AND('1. Criteria &amp; Spec Matrix'!C141="Show",'1. Criteria &amp; Spec Matrix'!E141=""),"Show","Hide"))</f>
        <v>Show</v>
      </c>
      <c r="F1421" s="78"/>
      <c r="G1421" s="70" t="str">
        <f>CHAR(97+COUNTIF($C$1405:C1420,"Show")) &amp; "."</f>
        <v>q.</v>
      </c>
      <c r="H1421" s="28" t="s">
        <v>723</v>
      </c>
    </row>
    <row r="1422" spans="2:8" ht="30" hidden="1" outlineLevel="2">
      <c r="B1422" s="11" t="s">
        <v>722</v>
      </c>
      <c r="C1422" s="9" t="str">
        <f>C1421</f>
        <v>Show</v>
      </c>
      <c r="F1422" s="78"/>
      <c r="G1422" s="70" t="str">
        <f>CHAR(97+COUNTIF($C$1405:C1421,"Show")) &amp; "."</f>
        <v>r.</v>
      </c>
      <c r="H1422" s="28" t="s">
        <v>2500</v>
      </c>
    </row>
    <row r="1423" spans="2:8" hidden="1" outlineLevel="2">
      <c r="B1423" s="11" t="s">
        <v>722</v>
      </c>
      <c r="C1423" s="9" t="str">
        <f>C1421</f>
        <v>Show</v>
      </c>
      <c r="F1423" s="78"/>
      <c r="G1423" s="70" t="str">
        <f>CHAR(97+COUNTIF($C$1405:C1422,"Show")) &amp; "."</f>
        <v>s.</v>
      </c>
      <c r="H1423" s="28" t="s">
        <v>2676</v>
      </c>
    </row>
    <row r="1424" spans="2:8" hidden="1" outlineLevel="2">
      <c r="B1424" s="12" t="s">
        <v>724</v>
      </c>
      <c r="C1424" s="7" t="str">
        <f>IF(COUNTIF(C1425:C1431,"Show")&gt;0,"Show","Hide")</f>
        <v>Show</v>
      </c>
      <c r="F1424" s="78" t="str">
        <f>(3+COUNTIF(C1304,"Show")+COUNTIF(C1313,"Show")+COUNTIF(C1315,"Show")+COUNTIF(C1318,"Show")+COUNTIF(C1322,"Show")+COUNTIF(C1335,"Show")+COUNTIF(C1338,"Show")+COUNTIF(C1404,"Show")) &amp; "."</f>
        <v>11.</v>
      </c>
      <c r="G1424" s="71" t="s">
        <v>2449</v>
      </c>
      <c r="H1424" s="28"/>
    </row>
    <row r="1425" spans="2:8" ht="30" hidden="1" outlineLevel="2">
      <c r="B1425" s="12" t="s">
        <v>725</v>
      </c>
      <c r="C1425" s="9" t="str">
        <f>IF(OR('1. Criteria &amp; Spec Matrix'!E162='3. Dropdowns'!C125,'1. Criteria &amp; Spec Matrix'!E162='3. Dropdowns'!C126,'1. Criteria &amp; Spec Matrix'!E162=""),"Show")</f>
        <v>Show</v>
      </c>
      <c r="F1425" s="78"/>
      <c r="G1425" s="70" t="s">
        <v>133</v>
      </c>
      <c r="H1425" s="28" t="s">
        <v>738</v>
      </c>
    </row>
    <row r="1426" spans="2:8" hidden="1" outlineLevel="2">
      <c r="B1426" s="12" t="s">
        <v>725</v>
      </c>
      <c r="C1426" s="9" t="str">
        <f>C1425</f>
        <v>Show</v>
      </c>
      <c r="F1426" s="78"/>
      <c r="G1426" s="70" t="str">
        <f>CHAR(97+COUNTIF($C$1425:C1425,"Show")) &amp; "."</f>
        <v>b.</v>
      </c>
      <c r="H1426" s="28" t="s">
        <v>739</v>
      </c>
    </row>
    <row r="1427" spans="2:8" ht="30" hidden="1" outlineLevel="2">
      <c r="B1427" s="12" t="s">
        <v>726</v>
      </c>
      <c r="C1427" s="9" t="str">
        <f>IF(OR('1. Criteria &amp; Spec Matrix'!E162='3. Dropdowns'!C126,'1. Criteria &amp; Spec Matrix'!E162=""),"Show")</f>
        <v>Show</v>
      </c>
      <c r="F1427" s="78"/>
      <c r="G1427" s="70" t="str">
        <f>CHAR(97+COUNTIF($C$1425:C1426,"Show")) &amp; "."</f>
        <v>c.</v>
      </c>
      <c r="H1427" s="28" t="s">
        <v>2677</v>
      </c>
    </row>
    <row r="1428" spans="2:8" ht="17.100000000000001" hidden="1" customHeight="1" outlineLevel="2">
      <c r="B1428" s="12" t="s">
        <v>726</v>
      </c>
      <c r="C1428" s="9" t="str">
        <f>C1427</f>
        <v>Show</v>
      </c>
      <c r="F1428" s="78"/>
      <c r="G1428" s="70" t="str">
        <f>CHAR(97+COUNTIF($C$1425:C1427,"Show")) &amp; "."</f>
        <v>d.</v>
      </c>
      <c r="H1428" s="28" t="s">
        <v>734</v>
      </c>
    </row>
    <row r="1429" spans="2:8" hidden="1" outlineLevel="2">
      <c r="B1429" s="12" t="s">
        <v>726</v>
      </c>
      <c r="C1429" s="9" t="str">
        <f>C1427</f>
        <v>Show</v>
      </c>
      <c r="F1429" s="78"/>
      <c r="G1429" s="70" t="str">
        <f>CHAR(97+COUNTIF($C$1425:C1428,"Show")) &amp; "."</f>
        <v>e.</v>
      </c>
      <c r="H1429" s="28" t="s">
        <v>740</v>
      </c>
    </row>
    <row r="1430" spans="2:8" hidden="1" outlineLevel="2">
      <c r="B1430" s="12" t="s">
        <v>726</v>
      </c>
      <c r="C1430" s="9" t="str">
        <f>C1427</f>
        <v>Show</v>
      </c>
      <c r="F1430" s="78"/>
      <c r="G1430" s="70" t="str">
        <f>CHAR(97+COUNTIF($C$1425:C1429,"Show")) &amp; "."</f>
        <v>f.</v>
      </c>
      <c r="H1430" s="28" t="s">
        <v>741</v>
      </c>
    </row>
    <row r="1431" spans="2:8" hidden="1" outlineLevel="2">
      <c r="B1431" s="12" t="s">
        <v>726</v>
      </c>
      <c r="C1431" s="9" t="str">
        <f>C1427</f>
        <v>Show</v>
      </c>
      <c r="F1431" s="78"/>
      <c r="G1431" s="70" t="str">
        <f>CHAR(97+COUNTIF($C$1425:C1430,"Show")) &amp; "."</f>
        <v>g.</v>
      </c>
      <c r="H1431" s="28" t="s">
        <v>742</v>
      </c>
    </row>
    <row r="1432" spans="2:8" hidden="1" outlineLevel="2">
      <c r="B1432" s="76" t="s">
        <v>2456</v>
      </c>
      <c r="C1432" s="7" t="str">
        <f>IF(COUNTIF(C1433:C1464,"Show")&gt;0,"Show","Hide")</f>
        <v>Show</v>
      </c>
      <c r="E1432" s="104" t="str">
        <f>CHAR(66+ COUNTIF(C1267,"Show")) &amp; "."</f>
        <v>C.</v>
      </c>
      <c r="F1432" s="11" t="s">
        <v>357</v>
      </c>
      <c r="H1432" s="106"/>
    </row>
    <row r="1433" spans="2:8" hidden="1" outlineLevel="2">
      <c r="B1433" s="12" t="s">
        <v>420</v>
      </c>
      <c r="C1433" s="9" t="str">
        <f>C1434</f>
        <v>Show</v>
      </c>
      <c r="F1433" s="108" t="s">
        <v>121</v>
      </c>
      <c r="G1433" s="71" t="s">
        <v>2501</v>
      </c>
    </row>
    <row r="1434" spans="2:8" ht="30" hidden="1" outlineLevel="2">
      <c r="B1434" s="12" t="s">
        <v>2592</v>
      </c>
      <c r="C1434" s="9" t="str">
        <f>IF(OR('1. Criteria &amp; Spec Matrix'!E165='3. Dropdowns'!C128,'1. Criteria &amp; Spec Matrix'!E165='3. Dropdowns'!C129),"Hide",
IF(OR('1. Criteria &amp; Spec Matrix'!D7='3. Dropdowns'!C17,'1. Criteria &amp; Spec Matrix'!D7='3. Dropdowns'!C18,'1. Criteria &amp; Spec Matrix'!D7=""),"Show","Hide"))</f>
        <v>Show</v>
      </c>
      <c r="F1434" s="78"/>
      <c r="G1434" s="70" t="s">
        <v>133</v>
      </c>
      <c r="H1434" s="28" t="s">
        <v>361</v>
      </c>
    </row>
    <row r="1435" spans="2:8" hidden="1" outlineLevel="2">
      <c r="B1435" s="12" t="s">
        <v>2968</v>
      </c>
      <c r="C1435" s="9" t="str">
        <f>IF(OR('1. Criteria &amp; Spec Matrix'!E165='3. Dropdowns'!C129,'1. Criteria &amp; Spec Matrix'!E165=""),"Show","Hide")</f>
        <v>Show</v>
      </c>
      <c r="F1435" s="108" t="str">
        <f>(1+COUNTIF(C1433,"Show")) &amp; "."</f>
        <v>2.</v>
      </c>
      <c r="G1435" s="71" t="s">
        <v>2957</v>
      </c>
      <c r="H1435" s="28"/>
    </row>
    <row r="1436" spans="2:8" ht="17.100000000000001" hidden="1" customHeight="1" outlineLevel="2">
      <c r="B1436" s="12" t="s">
        <v>2968</v>
      </c>
      <c r="C1436" s="9" t="str">
        <f>C1435</f>
        <v>Show</v>
      </c>
      <c r="F1436" s="78"/>
      <c r="G1436" s="70" t="s">
        <v>133</v>
      </c>
      <c r="H1436" s="28" t="s">
        <v>2958</v>
      </c>
    </row>
    <row r="1437" spans="2:8" hidden="1" outlineLevel="2">
      <c r="B1437" s="12" t="s">
        <v>421</v>
      </c>
      <c r="C1437" s="7" t="str">
        <f>IF(COUNTIF(C1438:C1439,"Show")&gt;0,"Show","Hide")</f>
        <v>Show</v>
      </c>
      <c r="F1437" s="108" t="str">
        <f>(1+COUNTIF(C1433,"Show")+COUNTIF(C1435,"Show")) &amp; "."</f>
        <v>3.</v>
      </c>
      <c r="G1437" s="71" t="s">
        <v>2593</v>
      </c>
    </row>
    <row r="1438" spans="2:8" ht="75" hidden="1" outlineLevel="2">
      <c r="B1438" s="12" t="s">
        <v>370</v>
      </c>
      <c r="C1438" s="9" t="str">
        <f>IF(OR('1. Criteria &amp; Spec Matrix'!C166="Show",'1. Criteria &amp; Spec Matrix'!E167='3. Dropdowns'!C131),"Show",
IF(AND('1. Criteria &amp; Spec Matrix'!C167="Show",'1. Criteria &amp; Spec Matrix'!E167=""),"Show","Hide"))</f>
        <v>Show</v>
      </c>
      <c r="F1438" s="108"/>
      <c r="G1438" s="70" t="s">
        <v>133</v>
      </c>
      <c r="H1438" s="28" t="s">
        <v>2654</v>
      </c>
    </row>
    <row r="1439" spans="2:8" ht="30" hidden="1" outlineLevel="2">
      <c r="B1439" s="12" t="s">
        <v>387</v>
      </c>
      <c r="C1439" s="9" t="str">
        <f>IF(OR('1. Criteria &amp; Spec Matrix'!E169='3. Dropdowns'!C136,'1. Criteria &amp; Spec Matrix'!E169='3. Dropdowns'!C137,'1. Criteria &amp; Spec Matrix'!E169='3. Dropdowns'!C138,'1. Criteria &amp; Spec Matrix'!E169=""),"Show","Hide")</f>
        <v>Show</v>
      </c>
      <c r="F1439" s="108"/>
      <c r="G1439" s="70" t="str">
        <f>CHAR(97+COUNTIF($C$1438:C1438,"Show")) &amp; "."</f>
        <v>b.</v>
      </c>
      <c r="H1439" s="28" t="s">
        <v>388</v>
      </c>
    </row>
    <row r="1440" spans="2:8" hidden="1" outlineLevel="2">
      <c r="B1440" s="12" t="s">
        <v>457</v>
      </c>
      <c r="C1440" s="7" t="str">
        <f>IF(COUNTIF(C1441:C1456,"Show")&gt;0,"Show","Hide")</f>
        <v>Show</v>
      </c>
      <c r="F1440" s="78" t="str">
        <f>(1+COUNTIF(C1433,"Show")+COUNTIF(C1435,"Show")+COUNTIF(C1437,"Show")) &amp; "."</f>
        <v>4.</v>
      </c>
      <c r="G1440" s="71" t="s">
        <v>2594</v>
      </c>
      <c r="H1440" s="28"/>
    </row>
    <row r="1441" spans="2:8" ht="45.95" hidden="1" customHeight="1" outlineLevel="2">
      <c r="B1441" s="12" t="s">
        <v>457</v>
      </c>
      <c r="C1441" s="9" t="str">
        <f>IF(OR('1. Criteria &amp; Spec Matrix'!E170="",'1. Criteria &amp; Spec Matrix'!E170='3. Dropdowns'!C140,'1. Criteria &amp; Spec Matrix'!E170='3. Dropdowns'!C141,'1. Criteria &amp; Spec Matrix'!E170='3. Dropdowns'!C142,'1. Criteria &amp; Spec Matrix'!E170='3. Dropdowns'!C143,'1. Criteria &amp; Spec Matrix'!E170='3. Dropdowns'!C144,'1. Criteria &amp; Spec Matrix'!E170='3. Dropdowns'!C145,'1. Criteria &amp; Spec Matrix'!E170='3. Dropdowns'!C146),"Show","Hide")</f>
        <v>Show</v>
      </c>
      <c r="F1441" s="108"/>
      <c r="G1441" s="70" t="s">
        <v>133</v>
      </c>
      <c r="H1441" s="28" t="s">
        <v>428</v>
      </c>
    </row>
    <row r="1442" spans="2:8" ht="75.95" hidden="1" customHeight="1" outlineLevel="2">
      <c r="B1442" s="12" t="s">
        <v>419</v>
      </c>
      <c r="C1442" s="9" t="str">
        <f>IF(OR('1. Criteria &amp; Spec Matrix'!E170='3. Dropdowns'!C141,'1. Criteria &amp; Spec Matrix'!E170='3. Dropdowns'!C143,'1. Criteria &amp; Spec Matrix'!E170='3. Dropdowns'!C145,'1. Criteria &amp; Spec Matrix'!E170='3. Dropdowns'!C146,'1. Criteria &amp; Spec Matrix'!E170=""),"Show","Hide")</f>
        <v>Show</v>
      </c>
      <c r="G1442" s="70" t="str">
        <f>CHAR(97+COUNTIF($C$1441:C1441,"Show")) &amp; "."</f>
        <v>b.</v>
      </c>
      <c r="H1442" s="28" t="s">
        <v>2502</v>
      </c>
    </row>
    <row r="1443" spans="2:8" ht="30" hidden="1" outlineLevel="2">
      <c r="B1443" s="12" t="s">
        <v>422</v>
      </c>
      <c r="C1443" s="9" t="str">
        <f>IF(AND('1. Criteria &amp; Spec Matrix'!C171="Show",'1. Criteria &amp; Spec Matrix'!E171='3. Dropdowns'!C147),"Show",
IF(AND('1. Criteria &amp; Spec Matrix'!C171="Show",'1. Criteria &amp; Spec Matrix'!E171=""),"Show","Hide"))</f>
        <v>Show</v>
      </c>
      <c r="G1443" s="70" t="str">
        <f>CHAR(97+COUNTIF($C$1441:C1442,"Show")) &amp; "."</f>
        <v>c.</v>
      </c>
      <c r="H1443" s="123" t="s">
        <v>425</v>
      </c>
    </row>
    <row r="1444" spans="2:8" ht="30" hidden="1" outlineLevel="2">
      <c r="B1444" s="12" t="s">
        <v>423</v>
      </c>
      <c r="C1444" s="9" t="str">
        <f>IF(AND('1. Criteria &amp; Spec Matrix'!C171="Show",'1. Criteria &amp; Spec Matrix'!E171='3. Dropdowns'!C148),"Show",
IF(AND('1. Criteria &amp; Spec Matrix'!C171="Show",'1. Criteria &amp; Spec Matrix'!E171=""),"Show","Hide"))</f>
        <v>Show</v>
      </c>
      <c r="G1444" s="70" t="str">
        <f>CHAR(97+COUNTIF($C$1441:C1443,"Show")) &amp; "."</f>
        <v>d.</v>
      </c>
      <c r="H1444" s="123" t="s">
        <v>426</v>
      </c>
    </row>
    <row r="1445" spans="2:8" ht="30" hidden="1" outlineLevel="2">
      <c r="B1445" s="12" t="s">
        <v>424</v>
      </c>
      <c r="C1445" s="9" t="str">
        <f>IF(AND('1. Criteria &amp; Spec Matrix'!C171="Show",'1. Criteria &amp; Spec Matrix'!E171='3. Dropdowns'!C149),"Show",
IF(AND('1. Criteria &amp; Spec Matrix'!C171="Show",'1. Criteria &amp; Spec Matrix'!E171=""),"Show","Hide"))</f>
        <v>Show</v>
      </c>
      <c r="G1445" s="70" t="str">
        <f>CHAR(97+COUNTIF($C$1441:C1444,"Show")) &amp; "."</f>
        <v>e.</v>
      </c>
      <c r="H1445" s="123" t="s">
        <v>427</v>
      </c>
    </row>
    <row r="1446" spans="2:8" ht="45" hidden="1" outlineLevel="2">
      <c r="B1446" s="12" t="s">
        <v>433</v>
      </c>
      <c r="C1446" s="9" t="str">
        <f>IF(AND('1. Criteria &amp; Spec Matrix'!C172="Show",OR('1. Criteria &amp; Spec Matrix'!E172='3. Dropdowns'!C151,'1. Criteria &amp; Spec Matrix'!E172='3. Dropdowns'!C153)),"Show",
IF(AND('1. Criteria &amp; Spec Matrix'!C172="Show",'1. Criteria &amp; Spec Matrix'!E172=""),"Show","Hide"))</f>
        <v>Show</v>
      </c>
      <c r="G1446" s="70" t="str">
        <f>CHAR(97+COUNTIF($C$1441:C1445,"Show")) &amp; "."</f>
        <v>f.</v>
      </c>
      <c r="H1446" s="123" t="s">
        <v>2595</v>
      </c>
    </row>
    <row r="1447" spans="2:8" hidden="1" outlineLevel="2">
      <c r="B1447" s="12" t="s">
        <v>434</v>
      </c>
      <c r="C1447" s="9" t="str">
        <f>IF(AND('1. Criteria &amp; Spec Matrix'!C172="Show",OR('1. Criteria &amp; Spec Matrix'!E172='3. Dropdowns'!C152,'1. Criteria &amp; Spec Matrix'!E172='3. Dropdowns'!C153)),"Show",
IF(AND('1. Criteria &amp; Spec Matrix'!C172="Show",'1. Criteria &amp; Spec Matrix'!E172=""),"Show","Hide"))</f>
        <v>Show</v>
      </c>
      <c r="G1447" s="70" t="str">
        <f>CHAR(97+COUNTIF($C$1441:C1446,"Show")) &amp; "."</f>
        <v>g.</v>
      </c>
      <c r="H1447" s="123" t="s">
        <v>2678</v>
      </c>
    </row>
    <row r="1448" spans="2:8" ht="60" hidden="1" outlineLevel="2">
      <c r="B1448" s="12" t="s">
        <v>415</v>
      </c>
      <c r="C1448" s="9" t="str">
        <f>IF(OR('1. Criteria &amp; Spec Matrix'!E170='3. Dropdowns'!C141,'1. Criteria &amp; Spec Matrix'!E170='3. Dropdowns'!C143,'1. Criteria &amp; Spec Matrix'!E170='3. Dropdowns'!C145,'1. Criteria &amp; Spec Matrix'!E170='3. Dropdowns'!C146,'1. Criteria &amp; Spec Matrix'!E170=""),"Show","Hide")</f>
        <v>Show</v>
      </c>
      <c r="F1448" s="108"/>
      <c r="G1448" s="70" t="str">
        <f>CHAR(97+COUNTIF($C$1441:C1447,"Show")) &amp; "."</f>
        <v>h.</v>
      </c>
      <c r="H1448" s="75" t="s">
        <v>2997</v>
      </c>
    </row>
    <row r="1449" spans="2:8" hidden="1" outlineLevel="2">
      <c r="B1449" s="12" t="s">
        <v>435</v>
      </c>
      <c r="C1449" s="9" t="str">
        <f>IF(OR('1. Criteria &amp; Spec Matrix'!E170="",'1. Criteria &amp; Spec Matrix'!E170='3. Dropdowns'!C142,'1. Criteria &amp; Spec Matrix'!E170='3. Dropdowns'!C144,'1. Criteria &amp; Spec Matrix'!E170='3. Dropdowns'!C145,'1. Criteria &amp; Spec Matrix'!E170='3. Dropdowns'!C146),"Show","Hide")</f>
        <v>Show</v>
      </c>
      <c r="G1449" s="70" t="str">
        <f>CHAR(97+COUNTIF($C$1441:C1448,"Show")) &amp; "."</f>
        <v>i.</v>
      </c>
      <c r="H1449" s="28" t="s">
        <v>437</v>
      </c>
    </row>
    <row r="1450" spans="2:8" hidden="1" outlineLevel="2">
      <c r="B1450" s="12" t="s">
        <v>438</v>
      </c>
      <c r="C1450" s="9" t="str">
        <f>IF(AND('1. Criteria &amp; Spec Matrix'!C173="Show",'1. Criteria &amp; Spec Matrix'!E173='3. Dropdowns'!C155),"Show",
IF(AND('1. Criteria &amp; Spec Matrix'!C173="Show",'1. Criteria &amp; Spec Matrix'!E173=""),"Show","Hide"))</f>
        <v>Show</v>
      </c>
      <c r="G1450" s="70"/>
      <c r="H1450" s="129" t="s">
        <v>440</v>
      </c>
    </row>
    <row r="1451" spans="2:8" ht="30" hidden="1" outlineLevel="2">
      <c r="B1451" s="12" t="s">
        <v>439</v>
      </c>
      <c r="C1451" s="9" t="str">
        <f>IF(AND('1. Criteria &amp; Spec Matrix'!C173="Show",'1. Criteria &amp; Spec Matrix'!E173='3. Dropdowns'!C156),"Show",
IF(AND('1. Criteria &amp; Spec Matrix'!C173="Show",'1. Criteria &amp; Spec Matrix'!E173=""),"Show","Hide"))</f>
        <v>Show</v>
      </c>
      <c r="G1451" s="70"/>
      <c r="H1451" s="123" t="s">
        <v>441</v>
      </c>
    </row>
    <row r="1452" spans="2:8" hidden="1" outlineLevel="2">
      <c r="B1452" s="12" t="s">
        <v>447</v>
      </c>
      <c r="C1452" s="9" t="str">
        <f>IF(AND('1. Criteria &amp; Spec Matrix'!C175="Show",'1. Criteria &amp; Spec Matrix'!E175='3. Dropdowns'!C159),"Show",
IF(AND('1. Criteria &amp; Spec Matrix'!C175="Show",'1. Criteria &amp; Spec Matrix'!E175=""),"Show","Hide"))</f>
        <v>Show</v>
      </c>
      <c r="G1452" s="70"/>
      <c r="H1452" s="123" t="s">
        <v>442</v>
      </c>
    </row>
    <row r="1453" spans="2:8" hidden="1" outlineLevel="2">
      <c r="B1453" s="12" t="s">
        <v>448</v>
      </c>
      <c r="C1453" s="9" t="str">
        <f>IF(AND('1. Criteria &amp; Spec Matrix'!C176="Show",'1. Criteria &amp; Spec Matrix'!E176='3. Dropdowns'!C159),"Show",
IF(AND('1. Criteria &amp; Spec Matrix'!C176="Show",'1. Criteria &amp; Spec Matrix'!E176=""),"Show","Hide"))</f>
        <v>Show</v>
      </c>
      <c r="G1453" s="70"/>
      <c r="H1453" s="123" t="s">
        <v>443</v>
      </c>
    </row>
    <row r="1454" spans="2:8" hidden="1" outlineLevel="2">
      <c r="B1454" s="12" t="s">
        <v>449</v>
      </c>
      <c r="C1454" s="9" t="str">
        <f>IF(AND('1. Criteria &amp; Spec Matrix'!C177="Show",'1. Criteria &amp; Spec Matrix'!E177='3. Dropdowns'!C159),"Show",
IF(AND('1. Criteria &amp; Spec Matrix'!C177="Show",'1. Criteria &amp; Spec Matrix'!E177=""),"Show","Hide"))</f>
        <v>Show</v>
      </c>
      <c r="F1454" s="108"/>
      <c r="G1454" s="70"/>
      <c r="H1454" s="123" t="s">
        <v>444</v>
      </c>
    </row>
    <row r="1455" spans="2:8" hidden="1" outlineLevel="2">
      <c r="B1455" s="12" t="s">
        <v>450</v>
      </c>
      <c r="C1455" s="9" t="str">
        <f>IF(AND('1. Criteria &amp; Spec Matrix'!C178="Show",'1. Criteria &amp; Spec Matrix'!E178='3. Dropdowns'!C159),"Show",
IF(AND('1. Criteria &amp; Spec Matrix'!C178="Show",'1. Criteria &amp; Spec Matrix'!E178=""),"Show","Hide"))</f>
        <v>Show</v>
      </c>
      <c r="F1455" s="108"/>
      <c r="G1455" s="70"/>
      <c r="H1455" s="123" t="s">
        <v>445</v>
      </c>
    </row>
    <row r="1456" spans="2:8" hidden="1" outlineLevel="2">
      <c r="B1456" s="12" t="s">
        <v>451</v>
      </c>
      <c r="C1456" s="9" t="str">
        <f>IF(AND('1. Criteria &amp; Spec Matrix'!C179="Show",'1. Criteria &amp; Spec Matrix'!E179='3. Dropdowns'!C159),"Show",
IF(AND('1. Criteria &amp; Spec Matrix'!C179="Show",'1. Criteria &amp; Spec Matrix'!E179=""),"Show","Hide"))</f>
        <v>Show</v>
      </c>
      <c r="F1456" s="78"/>
      <c r="G1456" s="70"/>
      <c r="H1456" s="123" t="s">
        <v>446</v>
      </c>
    </row>
    <row r="1457" spans="2:8" hidden="1" outlineLevel="2">
      <c r="B1457" s="12" t="s">
        <v>464</v>
      </c>
      <c r="C1457" s="7" t="str">
        <f>IF(COUNTIF(C1458:C1461,"Show")&gt;0,"Show","Hide")</f>
        <v>Show</v>
      </c>
      <c r="F1457" s="78" t="str">
        <f>(1+COUNTIF(C1433,"Show")+COUNTIF(C1435,"Show")+COUNTIF(C1437,"Show")+COUNTIF(C1440,"Show")) &amp; "."</f>
        <v>5.</v>
      </c>
      <c r="G1457" s="112" t="s">
        <v>2453</v>
      </c>
      <c r="H1457" s="28"/>
    </row>
    <row r="1458" spans="2:8" ht="75" hidden="1" outlineLevel="2">
      <c r="B1458" s="12" t="s">
        <v>468</v>
      </c>
      <c r="C1458" s="9" t="str">
        <f>IF(OR('1. Criteria &amp; Spec Matrix'!E180='3. Dropdowns'!C164,'1. Criteria &amp; Spec Matrix'!E180=""),"Show","Hide")</f>
        <v>Show</v>
      </c>
      <c r="G1458" s="70" t="s">
        <v>133</v>
      </c>
      <c r="H1458" s="28" t="s">
        <v>2680</v>
      </c>
    </row>
    <row r="1459" spans="2:8" ht="60" hidden="1" outlineLevel="2">
      <c r="B1459" s="12" t="s">
        <v>465</v>
      </c>
      <c r="C1459" s="9" t="str">
        <f>IF(OR('1. Criteria &amp; Spec Matrix'!E180='3. Dropdowns'!C165,'1. Criteria &amp; Spec Matrix'!E180=""),"Show","Hide")</f>
        <v>Show</v>
      </c>
      <c r="G1459" s="70" t="str">
        <f>CHAR(97+COUNTIF($C$1458:C1458,"Show")) &amp; "."</f>
        <v>b.</v>
      </c>
      <c r="H1459" s="28" t="s">
        <v>2679</v>
      </c>
    </row>
    <row r="1460" spans="2:8" ht="45" hidden="1" outlineLevel="2">
      <c r="B1460" s="12" t="s">
        <v>474</v>
      </c>
      <c r="C1460" s="9" t="str">
        <f>IF(AND(OR('1. Criteria &amp; Spec Matrix'!D7='3. Dropdowns'!C18,'1. Criteria &amp; Spec Matrix'!D7='3. Dropdowns'!C19,'1. Criteria &amp; Spec Matrix'!D7='3. Dropdowns'!C20),OR('1. Criteria &amp; Spec Matrix'!D180='3. Dropdowns'!C164,'1. Criteria &amp; Spec Matrix'!D180='3. Dropdowns'!C165)),"Show",
IF(AND(NOT('1. Criteria &amp; Spec Matrix'!D7='3. Dropdowns'!C17),'1. Criteria &amp; Spec Matrix'!E180=""),"Show","Hide"))</f>
        <v>Show</v>
      </c>
      <c r="G1460" s="70" t="str">
        <f>CHAR(97+COUNTIF($C$1458:C1459,"Show")) &amp; "."</f>
        <v>c.</v>
      </c>
      <c r="H1460" s="28" t="s">
        <v>881</v>
      </c>
    </row>
    <row r="1461" spans="2:8" ht="30" hidden="1" outlineLevel="2">
      <c r="B1461" s="12" t="s">
        <v>2999</v>
      </c>
      <c r="C1461" s="9" t="str">
        <f>IF('1. Criteria &amp; Spec Matrix'!E180='3. Dropdowns'!C162,"Show",
IF('1. Criteria &amp; Spec Matrix'!E180="","Show","Hide"))</f>
        <v>Show</v>
      </c>
      <c r="G1461" s="70" t="str">
        <f>CHAR(97+COUNTIF($C$1458:C1460,"Show")) &amp; "."</f>
        <v>d.</v>
      </c>
      <c r="H1461" s="28" t="s">
        <v>2998</v>
      </c>
    </row>
    <row r="1462" spans="2:8" hidden="1" outlineLevel="2">
      <c r="B1462" s="12" t="s">
        <v>3035</v>
      </c>
      <c r="C1462" s="7" t="str">
        <f>IF(COUNTIF(C1463:C1464,"Show")&gt;0,"Show","Hide")</f>
        <v>Show</v>
      </c>
      <c r="F1462" s="78" t="str">
        <f>(1+COUNTIF(C1433,"Show")+COUNTIF(C1435,"Show")+COUNTIF(C1437,"Show")+COUNTIF(C1440,"Show")+COUNTIF(C1457,"Show")) &amp; "."</f>
        <v>6.</v>
      </c>
      <c r="G1462" s="71" t="s">
        <v>2455</v>
      </c>
      <c r="H1462" s="28"/>
    </row>
    <row r="1463" spans="2:8" ht="60" hidden="1" outlineLevel="2">
      <c r="B1463" s="12" t="s">
        <v>3037</v>
      </c>
      <c r="C1463" s="9" t="str">
        <f>IF('1. Criteria &amp; Spec Matrix'!F5='3. Dropdowns'!C12,"Hide",
IF(OR('1. Criteria &amp; Spec Matrix'!E182="",'1. Criteria &amp; Spec Matrix'!E182='3. Dropdowns'!C172),"Show","Hide"))</f>
        <v>Show</v>
      </c>
      <c r="G1463" s="70" t="s">
        <v>133</v>
      </c>
      <c r="H1463" s="28" t="s">
        <v>499</v>
      </c>
    </row>
    <row r="1464" spans="2:8" hidden="1" outlineLevel="2">
      <c r="B1464" s="12" t="s">
        <v>3038</v>
      </c>
      <c r="C1464" s="9" t="str">
        <f>IF('1. Criteria &amp; Spec Matrix'!F5='3. Dropdowns'!C12,"Hide",
IF(OR('1. Criteria &amp; Spec Matrix'!E182="",'1. Criteria &amp; Spec Matrix'!E182='3. Dropdowns'!C174),"Show","Hide"))</f>
        <v>Show</v>
      </c>
      <c r="G1464" s="70" t="str">
        <f>CHAR(97+COUNTIF($C$1463:C1463,"Show")) &amp; "."</f>
        <v>b.</v>
      </c>
      <c r="H1464" s="28" t="s">
        <v>500</v>
      </c>
    </row>
    <row r="1465" spans="2:8" hidden="1" outlineLevel="2">
      <c r="B1465" s="76"/>
      <c r="C1465" s="7" t="s">
        <v>116</v>
      </c>
      <c r="E1465" s="70" t="str">
        <f>CHAR(66+ COUNTIF(C1267,"Show")+COUNTIF(C1432,"Show")) &amp; "."</f>
        <v>D.</v>
      </c>
      <c r="F1465" s="71" t="s">
        <v>501</v>
      </c>
      <c r="G1465" s="114"/>
      <c r="H1465" s="115"/>
    </row>
    <row r="1466" spans="2:8" hidden="1" outlineLevel="2">
      <c r="B1466" s="12" t="s">
        <v>2475</v>
      </c>
      <c r="C1466" s="7" t="str">
        <f>IF(COUNTIF(C1467:C1468,"Show")&gt;0,"Show","Hide")</f>
        <v>Show</v>
      </c>
      <c r="F1466" s="78" t="s">
        <v>121</v>
      </c>
      <c r="G1466" s="71" t="s">
        <v>2483</v>
      </c>
      <c r="H1466" s="28"/>
    </row>
    <row r="1467" spans="2:8" ht="30" hidden="1" outlineLevel="2">
      <c r="B1467" s="12" t="s">
        <v>2476</v>
      </c>
      <c r="C1467" s="9" t="str">
        <f>IF(OR('1. Criteria &amp; Spec Matrix'!E190='3. Dropdowns'!C193,'1. Criteria &amp; Spec Matrix'!E190='3. Dropdowns'!C194,'1. Criteria &amp; Spec Matrix'!E190='3. Dropdowns'!C195,'1. Criteria &amp; Spec Matrix'!E190='3. Dropdowns'!C196),"Hide",
IF(AND('1. Criteria &amp; Spec Matrix'!D5='3. Dropdowns'!C7,OR('1. Criteria &amp; Spec Matrix'!D7='3. Dropdowns'!C18,'1. Criteria &amp; Spec Matrix'!D7='3. Dropdowns'!C19,'1. Criteria &amp; Spec Matrix'!D7='3. Dropdowns'!C20)),"Show",
IF(AND('1. Criteria &amp; Spec Matrix'!D5="",'1. Criteria &amp; Spec Matrix'!D7=""),"Show",
IF(AND('1. Criteria &amp; Spec Matrix'!D5='3. Dropdowns'!C7,'1. Criteria &amp; Spec Matrix'!D7=""),"Show",
IF(AND('1. Criteria &amp; Spec Matrix'!D5="",OR('1. Criteria &amp; Spec Matrix'!D7='3. Dropdowns'!C18,'1. Criteria &amp; Spec Matrix'!D7='3. Dropdowns'!C19,'1. Criteria &amp; Spec Matrix'!D7='3. Dropdowns'!C20)),"Show","Hide")))))</f>
        <v>Show</v>
      </c>
      <c r="F1467" s="116"/>
      <c r="G1467" s="70" t="s">
        <v>133</v>
      </c>
      <c r="H1467" s="117" t="s">
        <v>509</v>
      </c>
    </row>
    <row r="1468" spans="2:8" ht="45" hidden="1" outlineLevel="2">
      <c r="B1468" s="12" t="s">
        <v>2477</v>
      </c>
      <c r="C1468" s="9" t="str">
        <f>IF(OR('1. Criteria &amp; Spec Matrix'!E190='3. Dropdowns'!C193,'1. Criteria &amp; Spec Matrix'!E190='3. Dropdowns'!C194,'1. Criteria &amp; Spec Matrix'!E190='3. Dropdowns'!C195,'1. Criteria &amp; Spec Matrix'!E190='3. Dropdowns'!C196),"Hide",
IF(AND('1. Criteria &amp; Spec Matrix'!D5='3. Dropdowns'!C7,'1. Criteria &amp; Spec Matrix'!D7='3. Dropdowns'!C17),"Show",
IF(AND('1. Criteria &amp; Spec Matrix'!D5="",'1. Criteria &amp; Spec Matrix'!D7=""),"Show",
IF(AND('1. Criteria &amp; Spec Matrix'!D5='3. Dropdowns'!C7,'1. Criteria &amp; Spec Matrix'!D7=""),"Show",
IF(AND('1. Criteria &amp; Spec Matrix'!D5="",'1. Criteria &amp; Spec Matrix'!D7='3. Dropdowns'!C17),"Show","Hide")))))</f>
        <v>Show</v>
      </c>
      <c r="F1468" s="116"/>
      <c r="G1468" s="70" t="str">
        <f>CHAR(97+COUNTIF($C$1467:C1467,"Show")) &amp; "."</f>
        <v>b.</v>
      </c>
      <c r="H1468" s="117" t="s">
        <v>510</v>
      </c>
    </row>
    <row r="1469" spans="2:8" hidden="1" outlineLevel="2">
      <c r="B1469" s="12" t="s">
        <v>2478</v>
      </c>
      <c r="C1469" s="9" t="str">
        <f>IF(COUNTIF(C1470:C1483,"Show")&gt;0,"Show","Hide")</f>
        <v>Show</v>
      </c>
      <c r="F1469" s="78" t="str">
        <f>(1+COUNTIF(C1466,"Show")) &amp; "."</f>
        <v>2.</v>
      </c>
      <c r="G1469" s="71" t="s">
        <v>2466</v>
      </c>
      <c r="H1469" s="28"/>
    </row>
    <row r="1470" spans="2:8" ht="60" hidden="1" outlineLevel="2">
      <c r="B1470" s="12" t="s">
        <v>2481</v>
      </c>
      <c r="C1470" s="9" t="str">
        <f>IF(NOT(OR('1. Criteria &amp; Spec Matrix'!E190="",'1. Criteria &amp; Spec Matrix'!E190='3. Dropdowns'!C191)),"Hide",IF(OR('1. Criteria &amp; Spec Matrix'!E186='3. Dropdowns'!C175,'1. Criteria &amp; Spec Matrix'!E186='3. Dropdowns'!C177),"Show",IF(AND('1. Criteria &amp; Spec Matrix'!C186="Show",'1. Criteria &amp; Spec Matrix'!E186=""),"Show","Hide")))</f>
        <v>Show</v>
      </c>
      <c r="G1470" s="70" t="s">
        <v>133</v>
      </c>
      <c r="H1470" s="111" t="s">
        <v>2602</v>
      </c>
    </row>
    <row r="1471" spans="2:8" ht="60" hidden="1" outlineLevel="2">
      <c r="B1471" s="12" t="s">
        <v>773</v>
      </c>
      <c r="C1471" s="9" t="str">
        <f>IF(NOT(OR('1. Criteria &amp; Spec Matrix'!E190="",'1. Criteria &amp; Spec Matrix'!E190='3. Dropdowns'!C191)),"Hide",IF('1. Criteria &amp; Spec Matrix'!E186='3. Dropdowns'!C176,"Show",IF(AND('1. Criteria &amp; Spec Matrix'!C186="Show",'1. Criteria &amp; Spec Matrix'!E186=""),"Show","Hide")))</f>
        <v>Show</v>
      </c>
      <c r="G1471" s="70" t="str">
        <f>CHAR(97+COUNTIF($C$1470:C1470,"Show")) &amp; "."</f>
        <v>b.</v>
      </c>
      <c r="H1471" s="111" t="s">
        <v>2603</v>
      </c>
    </row>
    <row r="1472" spans="2:8" ht="45" hidden="1" outlineLevel="2">
      <c r="B1472" s="12" t="s">
        <v>772</v>
      </c>
      <c r="C1472" s="9" t="str">
        <f>IF(NOT(OR('1. Criteria &amp; Spec Matrix'!E190="",'1. Criteria &amp; Spec Matrix'!E190='3. Dropdowns'!C191)),"Hide",IF('1. Criteria &amp; Spec Matrix'!E186='3. Dropdowns'!C178,"Show",IF(AND('1. Criteria &amp; Spec Matrix'!C186="Show",'1. Criteria &amp; Spec Matrix'!E186=""),"Show","Hide")))</f>
        <v>Show</v>
      </c>
      <c r="G1472" s="70" t="str">
        <f>CHAR(97+COUNTIF($C$1470:C1471,"Show")) &amp; "."</f>
        <v>c.</v>
      </c>
      <c r="H1472" s="111" t="s">
        <v>2607</v>
      </c>
    </row>
    <row r="1473" spans="2:8" ht="45" hidden="1" outlineLevel="2">
      <c r="B1473" s="12" t="s">
        <v>774</v>
      </c>
      <c r="C1473" s="9" t="str">
        <f>IF(NOT(OR('1. Criteria &amp; Spec Matrix'!E190="",'1. Criteria &amp; Spec Matrix'!E190='3. Dropdowns'!C191)),"Hide",IF('1. Criteria &amp; Spec Matrix'!E186='3. Dropdowns'!C179,"Show",IF(AND('1. Criteria &amp; Spec Matrix'!C186="Show",'1. Criteria &amp; Spec Matrix'!E186=""),"Show","Hide")))</f>
        <v>Show</v>
      </c>
      <c r="G1473" s="70" t="str">
        <f>CHAR(97+COUNTIF($C$1470:C1472,"Show")) &amp; "."</f>
        <v>d.</v>
      </c>
      <c r="H1473" s="111" t="s">
        <v>2608</v>
      </c>
    </row>
    <row r="1474" spans="2:8" ht="45" hidden="1" outlineLevel="2">
      <c r="B1474" s="12" t="s">
        <v>775</v>
      </c>
      <c r="C1474" s="9" t="str">
        <f>IF(OR('1. Criteria &amp; Spec Matrix'!E190='3. Dropdowns'!C193,'1. Criteria &amp; Spec Matrix'!E190='3. Dropdowns'!C194,'1. Criteria &amp; Spec Matrix'!E190='3. Dropdowns'!C195,'1. Criteria &amp; Spec Matrix'!E190='3. Dropdowns'!C196),"Hide",IF(OR('1. Criteria &amp; Spec Matrix'!E186='3. Dropdowns'!C180,'1. Criteria &amp; Spec Matrix'!E186='3. Dropdowns'!C177),"Show",IF(AND('1. Criteria &amp; Spec Matrix'!C186="Show",'1. Criteria &amp; Spec Matrix'!E186=""),"Show","Hide")))</f>
        <v>Show</v>
      </c>
      <c r="G1474" s="70" t="str">
        <f>CHAR(97+COUNTIF($C$1470:C1473,"Show")) &amp; "."</f>
        <v>e.</v>
      </c>
      <c r="H1474" s="111" t="s">
        <v>2609</v>
      </c>
    </row>
    <row r="1475" spans="2:8" ht="45" hidden="1" outlineLevel="2">
      <c r="B1475" s="12" t="s">
        <v>2503</v>
      </c>
      <c r="C1475" s="9" t="str">
        <f>IF(OR('1. Criteria &amp; Spec Matrix'!E190='3. Dropdowns'!C193,'1. Criteria &amp; Spec Matrix'!E190='3. Dropdowns'!C194,'1. Criteria &amp; Spec Matrix'!E190='3. Dropdowns'!C195,'1. Criteria &amp; Spec Matrix'!E190='3. Dropdowns'!C196),"Hide",IF('1. Criteria &amp; Spec Matrix'!E187='3. Dropdowns'!C184,"Show",
IF(AND('1. Criteria &amp; Spec Matrix'!C187="Show",'1. Criteria &amp; Spec Matrix'!E187=""),"Show","Hide")))</f>
        <v>Show</v>
      </c>
      <c r="G1475" s="70" t="str">
        <f>CHAR(97+COUNTIF($C$1470:C1474,"Show")) &amp; "."</f>
        <v>f.</v>
      </c>
      <c r="H1475" s="111" t="s">
        <v>776</v>
      </c>
    </row>
    <row r="1476" spans="2:8" ht="30" hidden="1" outlineLevel="2">
      <c r="B1476" s="12" t="s">
        <v>2503</v>
      </c>
      <c r="C1476" s="9" t="str">
        <f>C1475</f>
        <v>Show</v>
      </c>
      <c r="G1476" s="70" t="str">
        <f>CHAR(97+COUNTIF($C$1470:C1475,"Show")) &amp; "."</f>
        <v>g.</v>
      </c>
      <c r="H1476" s="111" t="s">
        <v>777</v>
      </c>
    </row>
    <row r="1477" spans="2:8" ht="30" hidden="1" outlineLevel="2">
      <c r="B1477" s="12" t="s">
        <v>2503</v>
      </c>
      <c r="C1477" s="9" t="str">
        <f>C1475</f>
        <v>Show</v>
      </c>
      <c r="G1477" s="70" t="str">
        <f>CHAR(97+COUNTIF($C$1470:C1476,"Show")) &amp; "."</f>
        <v>h.</v>
      </c>
      <c r="H1477" s="111" t="s">
        <v>778</v>
      </c>
    </row>
    <row r="1478" spans="2:8" ht="90" hidden="1" outlineLevel="2">
      <c r="B1478" s="12" t="s">
        <v>785</v>
      </c>
      <c r="C1478" s="9" t="str">
        <f>IF(OR('1. Criteria &amp; Spec Matrix'!E190='3. Dropdowns'!C193,'1. Criteria &amp; Spec Matrix'!E190='3. Dropdowns'!C194,'1. Criteria &amp; Spec Matrix'!E190='3. Dropdowns'!C195,'1. Criteria &amp; Spec Matrix'!E190='3. Dropdowns'!C196),"Hide",IF('1. Criteria &amp; Spec Matrix'!E189='3. Dropdowns'!C189,"Show",
IF(AND('1. Criteria &amp; Spec Matrix'!C189="Show",'1. Criteria &amp; Spec Matrix'!E189=""),"Show","Hide")))</f>
        <v>Show</v>
      </c>
      <c r="G1478" s="70" t="str">
        <f>CHAR(97+COUNTIF($C$1470:C1477,"Show")) &amp; "."</f>
        <v>i.</v>
      </c>
      <c r="H1478" s="111" t="s">
        <v>784</v>
      </c>
    </row>
    <row r="1479" spans="2:8" ht="45" hidden="1" outlineLevel="2">
      <c r="B1479" s="12" t="s">
        <v>779</v>
      </c>
      <c r="C1479" s="9"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Dropdowns'!C196),"Hide",IF('1. Criteria &amp; Spec Matrix'!D5='3. Dropdowns'!C8,"Show",IF('1. Criteria &amp; Spec Matrix'!D5="","Show","Hide"))))</f>
        <v>Show</v>
      </c>
      <c r="G1479" s="70" t="str">
        <f>CHAR(97+COUNTIF($C$1470:C1478,"Show")) &amp; "."</f>
        <v>j.</v>
      </c>
      <c r="H1479" s="111" t="s">
        <v>2568</v>
      </c>
    </row>
    <row r="1480" spans="2:8" ht="45" hidden="1" outlineLevel="2">
      <c r="B1480" s="12" t="s">
        <v>781</v>
      </c>
      <c r="C1480" s="9" t="str">
        <f>IF(OR('1. Criteria &amp; Spec Matrix'!E190='3. Dropdowns'!C193,'1. Criteria &amp; Spec Matrix'!E190='3. Dropdowns'!C194,'1. Criteria &amp; Spec Matrix'!E190='3. Dropdowns'!C195,'1. Criteria &amp; Spec Matrix'!E190='3. Dropdowns'!C196),"Hide",IF('1. Criteria &amp; Spec Matrix'!E188='3. Dropdowns'!C186,"Show", IF(AND('1. Criteria &amp; Spec Matrix'!C188="Show",'1. Criteria &amp; Spec Matrix'!E188=""),"Show","Hide")))</f>
        <v>Show</v>
      </c>
      <c r="G1480" s="70" t="str">
        <f>CHAR(97+COUNTIF($C$1470:C1479,"Show")) &amp; "."</f>
        <v>k.</v>
      </c>
      <c r="H1480" s="111" t="s">
        <v>2569</v>
      </c>
    </row>
    <row r="1481" spans="2:8" ht="60" hidden="1" outlineLevel="2">
      <c r="B1481" s="12" t="s">
        <v>782</v>
      </c>
      <c r="C1481" s="9" t="str">
        <f>IF(OR('1. Criteria &amp; Spec Matrix'!E190='3. Dropdowns'!C193,'1. Criteria &amp; Spec Matrix'!E190='3. Dropdowns'!C194,'1. Criteria &amp; Spec Matrix'!E190='3. Dropdowns'!C195,'1. Criteria &amp; Spec Matrix'!E190='3. Dropdowns'!C196),"Hide",IF('1. Criteria &amp; Spec Matrix'!E188='3. Dropdowns'!C187,"Show", IF(AND('1. Criteria &amp; Spec Matrix'!C188="Show",'1. Criteria &amp; Spec Matrix'!E188=""),"Show","Hide")))</f>
        <v>Show</v>
      </c>
      <c r="G1481" s="70" t="str">
        <f>CHAR(97+COUNTIF($C$1470:C1480,"Show")) &amp; "."</f>
        <v>l.</v>
      </c>
      <c r="H1481" s="111" t="s">
        <v>2570</v>
      </c>
    </row>
    <row r="1482" spans="2:8" hidden="1" outlineLevel="2">
      <c r="B1482" s="12" t="s">
        <v>783</v>
      </c>
      <c r="C1482" s="9" t="str">
        <f>IF(OR('1. Criteria &amp; Spec Matrix'!E190='3. Dropdowns'!C193,'1. Criteria &amp; Spec Matrix'!E190='3. Dropdowns'!C194,'1. Criteria &amp; Spec Matrix'!E190='3. Dropdowns'!C195,'1. Criteria &amp; Spec Matrix'!E190='3. Dropdowns'!C196),"Hide",IF('1. Criteria &amp; Spec Matrix'!E188='3. Dropdowns'!C188,"Show", IF(AND('1. Criteria &amp; Spec Matrix'!C188="Show",'1. Criteria &amp; Spec Matrix'!E188=""),"Show","Hide")))</f>
        <v>Show</v>
      </c>
      <c r="G1482" s="70" t="str">
        <f>CHAR(97+COUNTIF($C$1470:C1481,"Show")) &amp; "."</f>
        <v>m.</v>
      </c>
      <c r="H1482" s="111" t="s">
        <v>780</v>
      </c>
    </row>
    <row r="1483" spans="2:8" ht="30" hidden="1" outlineLevel="2">
      <c r="B1483" s="12" t="s">
        <v>3017</v>
      </c>
      <c r="C1483" s="9" t="str">
        <f>IF(AND('1. Criteria &amp; Spec Matrix'!E186='3. Dropdowns'!C181,'1. Criteria &amp; Spec Matrix'!F5='3. Dropdowns'!C12),"Show",IF(AND('1. Criteria &amp; Spec Matrix'!E186="",'1. Criteria &amp; Spec Matrix'!F5=""),"Show",
IF(AND('1. Criteria &amp; Spec Matrix'!E186="",'1. Criteria &amp; Spec Matrix'!F5='3. Dropdowns'!C12),"Show","Hide")))</f>
        <v>Show</v>
      </c>
      <c r="G1483" s="70" t="str">
        <f>CHAR(97+COUNTIF($C$1470:C1482,"Show")) &amp; "."</f>
        <v>n.</v>
      </c>
      <c r="H1483" s="111" t="s">
        <v>3048</v>
      </c>
    </row>
    <row r="1484" spans="2:8" hidden="1" outlineLevel="2">
      <c r="B1484" s="12" t="s">
        <v>2460</v>
      </c>
      <c r="C1484" s="7" t="str">
        <f>IF(COUNTIF(C1485:C1499,"Show")&gt;0,"Show","Hide")</f>
        <v>Show</v>
      </c>
      <c r="F1484" s="78" t="str">
        <f>(1+COUNTIF(C1466,"Show")+COUNTIF(C1469,"Show")) &amp; "."</f>
        <v>3.</v>
      </c>
      <c r="G1484" s="71" t="s">
        <v>2284</v>
      </c>
      <c r="H1484" s="117"/>
    </row>
    <row r="1485" spans="2:8" ht="75" hidden="1" outlineLevel="2">
      <c r="B1485" s="12" t="s">
        <v>2461</v>
      </c>
      <c r="C1485" s="9" t="str">
        <f>IF(AND(OR('1. Criteria &amp; Spec Matrix'!D7='3. Dropdowns'!C18,'1. Criteria &amp; Spec Matrix'!D7='3. Dropdowns'!C19,'1. Criteria &amp; Spec Matrix'!D7='3. Dropdowns'!C20),'1. Criteria &amp; Spec Matrix'!D5='3. Dropdowns'!C7,'1. Criteria &amp; Spec Matrix'!E190='3. Dropdowns'!C192),"Show",
IF('1. Criteria &amp; Spec Matrix'!E190="","Show","Hide"))</f>
        <v>Show</v>
      </c>
      <c r="F1485" s="116"/>
      <c r="G1485" s="70" t="s">
        <v>133</v>
      </c>
      <c r="H1485" s="117" t="s">
        <v>2605</v>
      </c>
    </row>
    <row r="1486" spans="2:8" ht="75" hidden="1" outlineLevel="2">
      <c r="B1486" s="12" t="s">
        <v>2462</v>
      </c>
      <c r="C1486" s="9" t="str">
        <f>IF(AND('1. Criteria &amp; Spec Matrix'!D7='3. Dropdowns'!C17,'1. Criteria &amp; Spec Matrix'!D5='3. Dropdowns'!C7,'1. Criteria &amp; Spec Matrix'!E190='3. Dropdowns'!C192),"Show",
IF('1. Criteria &amp; Spec Matrix'!E190="","Show","Hide"))</f>
        <v>Show</v>
      </c>
      <c r="F1486" s="116"/>
      <c r="G1486" s="70" t="str">
        <f>CHAR(97+COUNTIF($C$1485:C1485,"Show")) &amp; "."</f>
        <v>b.</v>
      </c>
      <c r="H1486" s="117" t="s">
        <v>2606</v>
      </c>
    </row>
    <row r="1487" spans="2:8" ht="45" hidden="1" outlineLevel="2">
      <c r="B1487" s="12" t="s">
        <v>806</v>
      </c>
      <c r="C1487" s="9" t="str">
        <f>IF(AND('1. Criteria &amp; Spec Matrix'!E186='3. Dropdowns'!C175,'1. Criteria &amp; Spec Matrix'!E188='3. Dropdowns'!C185,'1. Criteria &amp; Spec Matrix'!E190='3. Dropdowns'!C192),"Show",
IF('1. Criteria &amp; Spec Matrix'!E190="","Show","Hide"))</f>
        <v>Show</v>
      </c>
      <c r="F1487" s="116"/>
      <c r="G1487" s="70" t="str">
        <f>CHAR(97+COUNTIF($C$1485:C1486,"Show")) &amp; "."</f>
        <v>c.</v>
      </c>
      <c r="H1487" s="111" t="s">
        <v>2604</v>
      </c>
    </row>
    <row r="1488" spans="2:8" ht="45" hidden="1" outlineLevel="2">
      <c r="B1488" s="12" t="s">
        <v>808</v>
      </c>
      <c r="C1488" s="9" t="str">
        <f>IF(AND('1. Criteria &amp; Spec Matrix'!E186='3. Dropdowns'!C175,'1. Criteria &amp; Spec Matrix'!E188='3. Dropdowns'!C185,'1. Criteria &amp; Spec Matrix'!E190='3. Dropdowns'!C192),"Show",
IF('1. Criteria &amp; Spec Matrix'!E190="","Show","Hide"))</f>
        <v>Show</v>
      </c>
      <c r="F1488" s="116"/>
      <c r="G1488" s="70" t="str">
        <f>CHAR(97+COUNTIF($C$1485:C1487,"Show")) &amp; "."</f>
        <v>d.</v>
      </c>
      <c r="H1488" s="111" t="s">
        <v>833</v>
      </c>
    </row>
    <row r="1489" spans="2:8" ht="60" hidden="1" outlineLevel="2">
      <c r="B1489" s="12" t="s">
        <v>796</v>
      </c>
      <c r="C1489" s="9" t="str">
        <f>IF(AND('1. Criteria &amp; Spec Matrix'!E190='3. Dropdowns'!C192,'1. Criteria &amp; Spec Matrix'!E186='3. Dropdowns'!C178),"Show",
IF('1. Criteria &amp; Spec Matrix'!E190="","Show","Hide"))</f>
        <v>Show</v>
      </c>
      <c r="F1489" s="116"/>
      <c r="G1489" s="70" t="str">
        <f>CHAR(97+COUNTIF($C$1485:C1488,"Show")) &amp; "."</f>
        <v>e.</v>
      </c>
      <c r="H1489" s="117" t="s">
        <v>2610</v>
      </c>
    </row>
    <row r="1490" spans="2:8" ht="33" hidden="1" customHeight="1" outlineLevel="2">
      <c r="B1490" s="12" t="s">
        <v>797</v>
      </c>
      <c r="C1490" s="9" t="str">
        <f>IF(AND('1. Criteria &amp; Spec Matrix'!E190='3. Dropdowns'!C192,'1. Criteria &amp; Spec Matrix'!E186='3. Dropdowns'!C179),"Show",
IF('1. Criteria &amp; Spec Matrix'!E190="","Show","Hide"))</f>
        <v>Show</v>
      </c>
      <c r="F1490" s="116"/>
      <c r="G1490" s="70" t="str">
        <f>CHAR(97+COUNTIF($C$1485:C1489,"Show")) &amp; "."</f>
        <v>f.</v>
      </c>
      <c r="H1490" s="117" t="s">
        <v>2611</v>
      </c>
    </row>
    <row r="1491" spans="2:8" ht="45" hidden="1" outlineLevel="2">
      <c r="B1491" s="12" t="s">
        <v>798</v>
      </c>
      <c r="C1491" s="9" t="str">
        <f>IF(OR('1. Criteria &amp; Spec Matrix'!E190="",'1. Criteria &amp; Spec Matrix'!E190='3. Dropdowns'!C193),"Show","Hide")</f>
        <v>Show</v>
      </c>
      <c r="F1491" s="116"/>
      <c r="G1491" s="70" t="str">
        <f>CHAR(97+COUNTIF($C$1485:C1490,"Show")) &amp; "."</f>
        <v>g.</v>
      </c>
      <c r="H1491" s="117" t="s">
        <v>829</v>
      </c>
    </row>
    <row r="1492" spans="2:8" ht="30" hidden="1" outlineLevel="2">
      <c r="B1492" s="12" t="s">
        <v>801</v>
      </c>
      <c r="C1492" s="9" t="str">
        <f>IF(OR('1. Criteria &amp; Spec Matrix'!E190="",'1. Criteria &amp; Spec Matrix'!E190='3. Dropdowns'!C194),"Show","Hide")</f>
        <v>Show</v>
      </c>
      <c r="F1492" s="116"/>
      <c r="G1492" s="70" t="str">
        <f>CHAR(97+COUNTIF($C$1485:C1491,"Show")) &amp; "."</f>
        <v>h.</v>
      </c>
      <c r="H1492" s="117" t="s">
        <v>830</v>
      </c>
    </row>
    <row r="1493" spans="2:8" ht="45" hidden="1" outlineLevel="2">
      <c r="B1493" s="12" t="s">
        <v>802</v>
      </c>
      <c r="C1493" s="9" t="str">
        <f>IF(OR('1. Criteria &amp; Spec Matrix'!E190="",'1. Criteria &amp; Spec Matrix'!E190='3. Dropdowns'!C195),"Show","Hide")</f>
        <v>Show</v>
      </c>
      <c r="F1493" s="116"/>
      <c r="G1493" s="70" t="str">
        <f>CHAR(97+COUNTIF($C$1485:C1492,"Show")) &amp; "."</f>
        <v>i.</v>
      </c>
      <c r="H1493" s="28" t="s">
        <v>831</v>
      </c>
    </row>
    <row r="1494" spans="2:8" ht="30" hidden="1" outlineLevel="2">
      <c r="B1494" s="12" t="s">
        <v>803</v>
      </c>
      <c r="C1494" s="9" t="str">
        <f>IF(OR('1. Criteria &amp; Spec Matrix'!E190="",'1. Criteria &amp; Spec Matrix'!E190='3. Dropdowns'!C196),"Show","Hide")</f>
        <v>Show</v>
      </c>
      <c r="F1494" s="116"/>
      <c r="G1494" s="70" t="str">
        <f>CHAR(97+COUNTIF($C$1485:C1493,"Show")) &amp; "."</f>
        <v>j.</v>
      </c>
      <c r="H1494" s="117" t="s">
        <v>832</v>
      </c>
    </row>
    <row r="1495" spans="2:8" ht="45" hidden="1" outlineLevel="2">
      <c r="B1495" s="12" t="s">
        <v>813</v>
      </c>
      <c r="C1495" s="9" t="str">
        <f>IF(AND('1. Criteria &amp; Spec Matrix'!E190='3. Dropdowns'!C197,'1. Criteria &amp; Spec Matrix'!D5='3. Dropdowns'!C9,OR('1. Criteria &amp; Spec Matrix'!E186='3. Dropdowns'!C175,'1. Criteria &amp; Spec Matrix'!E186='3. Dropdowns'!C176)),"Show",
IF('1. Criteria &amp; Spec Matrix'!E190="","Show","Hide"))</f>
        <v>Show</v>
      </c>
      <c r="F1495" s="116"/>
      <c r="G1495" s="70" t="str">
        <f>CHAR(97+COUNTIF($C$1485:C1494,"Show")) &amp; "."</f>
        <v>k.</v>
      </c>
      <c r="H1495" s="111" t="s">
        <v>835</v>
      </c>
    </row>
    <row r="1496" spans="2:8" ht="45" hidden="1" outlineLevel="2">
      <c r="B1496" s="12" t="s">
        <v>814</v>
      </c>
      <c r="C1496" s="9" t="str">
        <f>IF(AND('1. Criteria &amp; Spec Matrix'!E190='3. Dropdowns'!C197,'1. Criteria &amp; Spec Matrix'!D5='3. Dropdowns'!C9,'1. Criteria &amp; Spec Matrix'!E186='3. Dropdowns'!C178),"Show",
IF('1. Criteria &amp; Spec Matrix'!E190="","Show","Hide"))</f>
        <v>Show</v>
      </c>
      <c r="F1496" s="116"/>
      <c r="G1496" s="70" t="str">
        <f>CHAR(97+COUNTIF($C$1485:C1495,"Show")) &amp; "."</f>
        <v>l.</v>
      </c>
      <c r="H1496" s="111" t="s">
        <v>834</v>
      </c>
    </row>
    <row r="1497" spans="2:8" ht="75" hidden="1" outlineLevel="2">
      <c r="B1497" s="12" t="s">
        <v>815</v>
      </c>
      <c r="C1497" s="9" t="str">
        <f>IF(AND('1. Criteria &amp; Spec Matrix'!E190='3. Dropdowns'!C197,'1. Criteria &amp; Spec Matrix'!D5='3. Dropdowns'!C8,'1. Criteria &amp; Spec Matrix'!E186='3. Dropdowns'!C178),"Show",
IF('1. Criteria &amp; Spec Matrix'!E190="","Show","Hide"))</f>
        <v>Show</v>
      </c>
      <c r="F1497" s="116"/>
      <c r="G1497" s="70" t="str">
        <f>CHAR(97+COUNTIF($C$1485:C1496,"Show")) &amp; "."</f>
        <v>m.</v>
      </c>
      <c r="H1497" s="117" t="s">
        <v>2645</v>
      </c>
    </row>
    <row r="1498" spans="2:8" ht="60" hidden="1" outlineLevel="2">
      <c r="B1498" s="12" t="s">
        <v>2639</v>
      </c>
      <c r="C1498" s="9" t="str">
        <f>IF(AND('1. Criteria &amp; Spec Matrix'!E190='3. Dropdowns'!C197,'1. Criteria &amp; Spec Matrix'!D5='3. Dropdowns'!C8,'1. Criteria &amp; Spec Matrix'!E186='3. Dropdowns'!C179),"Show",
IF('1. Criteria &amp; Spec Matrix'!E190="","Show","Hide"))</f>
        <v>Show</v>
      </c>
      <c r="F1498" s="116"/>
      <c r="G1498" s="70" t="str">
        <f>CHAR(97+COUNTIF($C$1485:C1497,"Show")) &amp; "."</f>
        <v>n.</v>
      </c>
      <c r="H1498" s="117" t="s">
        <v>2646</v>
      </c>
    </row>
    <row r="1499" spans="2:8" ht="75" hidden="1" outlineLevel="2">
      <c r="B1499" s="12" t="s">
        <v>817</v>
      </c>
      <c r="C1499" s="9" t="str">
        <f>IF(AND('1. Criteria &amp; Spec Matrix'!E190='3. Dropdowns'!C197,'1. Criteria &amp; Spec Matrix'!D5='3. Dropdowns'!C9,'1. Criteria &amp; Spec Matrix'!E186='3. Dropdowns'!C178),"Show",
IF('1. Criteria &amp; Spec Matrix'!E190="","Show","Hide"))</f>
        <v>Show</v>
      </c>
      <c r="F1499" s="116"/>
      <c r="G1499" s="70" t="str">
        <f>CHAR(97+COUNTIF($C$1485:C1498,"Show")) &amp; "."</f>
        <v>o.</v>
      </c>
      <c r="H1499" s="117" t="s">
        <v>2648</v>
      </c>
    </row>
    <row r="1500" spans="2:8" ht="60" hidden="1" outlineLevel="2">
      <c r="B1500" s="12" t="s">
        <v>2640</v>
      </c>
      <c r="C1500" s="9" t="str">
        <f>IF(AND('1. Criteria &amp; Spec Matrix'!E190='3. Dropdowns'!C197,'1. Criteria &amp; Spec Matrix'!D5='3. Dropdowns'!C9,'1. Criteria &amp; Spec Matrix'!E186='3. Dropdowns'!C179),"Show",
IF('1. Criteria &amp; Spec Matrix'!E190="","Show","Hide"))</f>
        <v>Show</v>
      </c>
      <c r="F1500" s="116"/>
      <c r="G1500" s="70" t="str">
        <f>CHAR(97+COUNTIF($C$1485:C1499,"Show")) &amp; "."</f>
        <v>p.</v>
      </c>
      <c r="H1500" s="117" t="s">
        <v>2647</v>
      </c>
    </row>
    <row r="1501" spans="2:8" hidden="1" outlineLevel="2">
      <c r="B1501" s="12" t="s">
        <v>2468</v>
      </c>
      <c r="C1501" s="9" t="str">
        <f>IF(COUNTIF(C1502:C1509,"Show")&gt;0,"Show","Hide")</f>
        <v>Show</v>
      </c>
      <c r="F1501" s="78" t="str">
        <f>(1+COUNTIF(C1466,"Show")+COUNTIF(C1469,"Show")+COUNTIF(C1484,"Show")) &amp; "."</f>
        <v>4.</v>
      </c>
      <c r="G1501" s="71" t="s">
        <v>2467</v>
      </c>
      <c r="H1501" s="117"/>
    </row>
    <row r="1502" spans="2:8" ht="45" hidden="1" outlineLevel="2">
      <c r="B1502" s="12" t="s">
        <v>874</v>
      </c>
      <c r="C1502" s="9" t="str">
        <f>IF(AND('1. Criteria &amp; Spec Matrix'!D5='3. Dropdowns'!C7,'1. Criteria &amp; Spec Matrix'!F5='3. Dropdowns'!C12),"Hide",
IF(AND('1. Criteria &amp; Spec Matrix'!C193="Show",'1. Criteria &amp; Spec Matrix'!E193='3. Dropdowns'!C205),"Hide",
IF(AND(OR('1. Criteria &amp; Spec Matrix'!D5='3. Dropdowns'!C8,'1. Criteria &amp; Spec Matrix'!D5='3. Dropdowns'!C9),'1. Criteria &amp; Spec Matrix'!E193='3. Dropdowns'!C207),"Hide",IF(AND('1. Criteria &amp; Spec Matrix'!F5='3. Dropdowns'!C12,'1. Criteria &amp; Spec Matrix'!E193='3. Dropdowns'!C208),"Hide",
IF(OR('1. Criteria &amp; Spec Matrix'!E191='3. Dropdowns'!C199,'1. Criteria &amp; Spec Matrix'!E191='3. Dropdowns'!C201,'1. Criteria &amp; Spec Matrix'!E194='3. Dropdowns'!C209,'1. Criteria &amp; Spec Matrix'!E194='3. Dropdowns'!C211),"Show",
IF(AND('1. Criteria &amp; Spec Matrix'!C191="Show",'1. Criteria &amp; Spec Matrix'!E191=""),"Show",
IF(AND('1. Criteria &amp; Spec Matrix'!C194="Show",'1. Criteria &amp; Spec Matrix'!E194=""),"Show","Hide")))))))</f>
        <v>Show</v>
      </c>
      <c r="F1502" s="116"/>
      <c r="G1502" s="70" t="s">
        <v>133</v>
      </c>
      <c r="H1502" s="117" t="s">
        <v>850</v>
      </c>
    </row>
    <row r="1503" spans="2:8" ht="30" hidden="1" outlineLevel="2">
      <c r="B1503" s="12" t="s">
        <v>874</v>
      </c>
      <c r="C1503" s="9" t="str">
        <f>C1502</f>
        <v>Show</v>
      </c>
      <c r="F1503" s="116"/>
      <c r="G1503" s="70" t="str">
        <f>CHAR(97+COUNTIF($C$1502:C1502,"Show")) &amp; "."</f>
        <v>b.</v>
      </c>
      <c r="H1503" s="117" t="s">
        <v>852</v>
      </c>
    </row>
    <row r="1504" spans="2:8" ht="45" hidden="1" outlineLevel="2">
      <c r="B1504" s="12" t="s">
        <v>874</v>
      </c>
      <c r="C1504" s="9" t="str">
        <f>C1502</f>
        <v>Show</v>
      </c>
      <c r="F1504" s="116"/>
      <c r="G1504" s="70" t="str">
        <f>CHAR(97+COUNTIF($C$1502:C1503,"Show")) &amp; "."</f>
        <v>c.</v>
      </c>
      <c r="H1504" s="117" t="s">
        <v>854</v>
      </c>
    </row>
    <row r="1505" spans="2:8" ht="45" hidden="1" outlineLevel="2">
      <c r="B1505" s="12" t="s">
        <v>875</v>
      </c>
      <c r="C1505" s="9" t="str">
        <f>IF(AND('1. Criteria &amp; Spec Matrix'!D5='3. Dropdowns'!C7,'1. Criteria &amp; Spec Matrix'!F5='3. Dropdowns'!C12),"Hide",IF(AND('1. Criteria &amp; Spec Matrix'!C193="Show",'1. Criteria &amp; Spec Matrix'!E193='3. Dropdowns'!C205),"Hide",IF(AND(OR('1. Criteria &amp; Spec Matrix'!D5='3. Dropdowns'!C8,'1. Criteria &amp; Spec Matrix'!D5='3. Dropdowns'!C9),'1. Criteria &amp; Spec Matrix'!E193='3. Dropdowns'!C207),"Hide",IF(AND('1. Criteria &amp; Spec Matrix'!F5='3. Dropdowns'!C12,'1. Criteria &amp; Spec Matrix'!E193='3. Dropdowns'!C208),"Hide",IF(OR('1. Criteria &amp; Spec Matrix'!E191='3. Dropdowns'!C200,'1. Criteria &amp; Spec Matrix'!E191='3. Dropdowns'!C201,'1. Criteria &amp; Spec Matrix'!E194='3. Dropdowns'!C210,'1. Criteria &amp; Spec Matrix'!E194='3. Dropdowns'!C211),"Show",
IF(AND('1. Criteria &amp; Spec Matrix'!C191="Show",'1. Criteria &amp; Spec Matrix'!E191=""),"Show",
IF(AND('1. Criteria &amp; Spec Matrix'!C194="Show",'1. Criteria &amp; Spec Matrix'!E194=""),"Show","Hide")))))))</f>
        <v>Show</v>
      </c>
      <c r="F1505" s="116"/>
      <c r="G1505" s="70" t="str">
        <f>CHAR(97+COUNTIF($C$1502:C1504,"Show")) &amp; "."</f>
        <v>d.</v>
      </c>
      <c r="H1505" s="117" t="s">
        <v>851</v>
      </c>
    </row>
    <row r="1506" spans="2:8" ht="30" hidden="1" outlineLevel="2">
      <c r="B1506" s="12" t="s">
        <v>875</v>
      </c>
      <c r="C1506" s="9" t="str">
        <f>C1505</f>
        <v>Show</v>
      </c>
      <c r="F1506" s="116"/>
      <c r="G1506" s="70" t="str">
        <f>CHAR(97+COUNTIF($C$1502:C1505,"Show")) &amp; "."</f>
        <v>e.</v>
      </c>
      <c r="H1506" s="117" t="s">
        <v>853</v>
      </c>
    </row>
    <row r="1507" spans="2:8" ht="45" hidden="1" outlineLevel="2">
      <c r="B1507" s="12" t="s">
        <v>875</v>
      </c>
      <c r="C1507" s="9" t="str">
        <f>C1505</f>
        <v>Show</v>
      </c>
      <c r="F1507" s="116"/>
      <c r="G1507" s="70" t="str">
        <f>CHAR(97+COUNTIF($C$1502:C1506,"Show")) &amp; "."</f>
        <v>f.</v>
      </c>
      <c r="H1507" s="117" t="s">
        <v>855</v>
      </c>
    </row>
    <row r="1508" spans="2:8" ht="30" hidden="1" outlineLevel="2">
      <c r="B1508" s="12" t="s">
        <v>3086</v>
      </c>
      <c r="C1508" s="9" t="str">
        <f>IF(AND('1. Criteria &amp; Spec Matrix'!D5='3. Dropdowns'!C7,OR('1. Criteria &amp; Spec Matrix'!E191='3. Dropdowns'!C200,'1. Criteria &amp; Spec Matrix'!E191='3. Dropdowns'!C201),'1. Criteria &amp; Spec Matrix'!E192='3. Dropdowns'!C204),"Show",
IF(AND(OR('1. Criteria &amp; Spec Matrix'!D5='3. Dropdowns'!C8,'1. Criteria &amp; Spec Matrix'!D5='3. Dropdowns'!C9),'1. Criteria &amp; Spec Matrix'!E193='3. Dropdowns'!C206,OR('1. Criteria &amp; Spec Matrix'!E194='3. Dropdowns'!C210,'1. Criteria &amp; Spec Matrix'!E194='3. Dropdowns'!C211),'1. Criteria &amp; Spec Matrix'!E195='3. Dropdowns'!C213),"Show",
IF(OR(AND('1. Criteria &amp; Spec Matrix'!C193="Show",'1. Criteria &amp; Spec Matrix'!E193=""),AND('1. Criteria &amp; Spec Matrix'!C194="Show",'1. Criteria &amp; Spec Matrix'!E194=""),AND('1. Criteria &amp; Spec Matrix'!C195="Show",'1. Criteria &amp; Spec Matrix'!E195="")),"Show","Hide")))</f>
        <v>Show</v>
      </c>
      <c r="F1508" s="116"/>
      <c r="G1508" s="70" t="str">
        <f>CHAR(97+COUNTIF($C$1502:C1507,"Show")) &amp; "."</f>
        <v>g.</v>
      </c>
      <c r="H1508" s="117" t="s">
        <v>856</v>
      </c>
    </row>
    <row r="1509" spans="2:8" ht="30" hidden="1" outlineLevel="2">
      <c r="B1509" s="12" t="s">
        <v>3086</v>
      </c>
      <c r="C1509" s="9" t="str">
        <f>C1508</f>
        <v>Show</v>
      </c>
      <c r="F1509" s="116"/>
      <c r="G1509" s="70" t="str">
        <f>CHAR(97+COUNTIF($C$1502:C1508,"Show")) &amp; "."</f>
        <v>h.</v>
      </c>
      <c r="H1509" s="117" t="s">
        <v>857</v>
      </c>
    </row>
    <row r="1510" spans="2:8" hidden="1" outlineLevel="2">
      <c r="B1510" s="12" t="s">
        <v>915</v>
      </c>
      <c r="C1510" s="9" t="str">
        <f>IF(COUNTIF(C1511:C1513,"Show")&gt;0,"Show","Hide")</f>
        <v>Show</v>
      </c>
      <c r="F1510" s="78" t="str">
        <f>(1+COUNTIF(C1466,"Show")+COUNTIF(C1469,"Show")+COUNTIF(C1484,"Show")+COUNTIF(C1501,"Show")) &amp; "."</f>
        <v>5.</v>
      </c>
      <c r="G1510" s="71" t="s">
        <v>905</v>
      </c>
      <c r="H1510" s="117"/>
    </row>
    <row r="1511" spans="2:8" ht="30" hidden="1" outlineLevel="2">
      <c r="B1511" s="12" t="s">
        <v>914</v>
      </c>
      <c r="C1511" s="9" t="str">
        <f>IF(OR('1. Criteria &amp; Spec Matrix'!E197='3. Dropdowns'!C220,'1. Criteria &amp; Spec Matrix'!E197=""),"Show","Hide")</f>
        <v>Show</v>
      </c>
      <c r="F1511" s="116"/>
      <c r="G1511" s="70" t="s">
        <v>133</v>
      </c>
      <c r="H1511" s="117" t="s">
        <v>916</v>
      </c>
    </row>
    <row r="1512" spans="2:8" ht="30" hidden="1" outlineLevel="2">
      <c r="B1512" s="12" t="s">
        <v>914</v>
      </c>
      <c r="C1512" s="9" t="str">
        <f>C1511</f>
        <v>Show</v>
      </c>
      <c r="F1512" s="116"/>
      <c r="G1512" s="70" t="str">
        <f>CHAR(97+COUNTIF($C$1511:C1511,"Show")) &amp; "."</f>
        <v>b.</v>
      </c>
      <c r="H1512" s="117" t="s">
        <v>917</v>
      </c>
    </row>
    <row r="1513" spans="2:8" ht="90" hidden="1" outlineLevel="2">
      <c r="B1513" s="12" t="s">
        <v>3024</v>
      </c>
      <c r="C1513" s="9" t="str">
        <f>IF(AND('1. Criteria &amp; Spec Matrix'!E197='3. Dropdowns'!C217,'1. Criteria &amp; Spec Matrix'!F5='3. Dropdowns'!C12),"Show",IF('1. Criteria &amp; Spec Matrix'!E196="","Show","Hide"))</f>
        <v>Show</v>
      </c>
      <c r="F1513" s="116"/>
      <c r="G1513" s="70" t="str">
        <f>CHAR(97+COUNTIF($C$1511:C1512,"Show")) &amp; "."</f>
        <v>c.</v>
      </c>
      <c r="H1513" s="117" t="s">
        <v>3025</v>
      </c>
    </row>
    <row r="1514" spans="2:8" hidden="1" outlineLevel="2">
      <c r="B1514" s="12" t="s">
        <v>927</v>
      </c>
      <c r="C1514" s="9" t="str">
        <f>C1515</f>
        <v>Show</v>
      </c>
      <c r="F1514" s="78" t="str">
        <f>(1+COUNTIF(C1466,"Show")+COUNTIF(C1469,"Show")+COUNTIF(C1484,"Show")+COUNTIF(C1501,"Show")+COUNTIF(C1510,"Show")) &amp; "."</f>
        <v>6.</v>
      </c>
      <c r="G1514" s="71" t="s">
        <v>918</v>
      </c>
      <c r="H1514" s="117"/>
    </row>
    <row r="1515" spans="2:8" ht="30" hidden="1" outlineLevel="2">
      <c r="B1515" s="12" t="s">
        <v>926</v>
      </c>
      <c r="C1515" s="9" t="str">
        <f>IF(OR('1. Criteria &amp; Spec Matrix'!E198='3. Dropdowns'!C222,'1. Criteria &amp; Spec Matrix'!E198='3. Dropdowns'!C224,'1. Criteria &amp; Spec Matrix'!E198=""),"Show","Hide")</f>
        <v>Show</v>
      </c>
      <c r="F1515" s="116"/>
      <c r="G1515" s="70" t="s">
        <v>133</v>
      </c>
      <c r="H1515" s="117" t="s">
        <v>933</v>
      </c>
    </row>
    <row r="1516" spans="2:8" hidden="1" outlineLevel="2">
      <c r="B1516" s="12" t="s">
        <v>960</v>
      </c>
      <c r="C1516" s="9" t="str">
        <f>IF(OR('1. Criteria &amp; Spec Matrix'!E199='3. Dropdowns'!C232,'1. Criteria &amp; Spec Matrix'!E199='3. Dropdowns'!C233,'1. Criteria &amp; Spec Matrix'!E201='3. Dropdowns'!C240,'1. Criteria &amp; Spec Matrix'!E201='3. Dropdowns'!C241),"Show",
IF('1. Criteria &amp; Spec Matrix'!E201="","Show",
IF(AND('1. Criteria &amp; Spec Matrix'!C199="Show",'1. Criteria &amp; Spec Matrix'!E199=""),"Show","Hide")))</f>
        <v>Show</v>
      </c>
      <c r="F1516" s="78" t="str">
        <f>(1+COUNTIF(C1466,"Show")+COUNTIF(C1469,"Show")+COUNTIF(C1484,"Show")+COUNTIF(C1501,"Show")+COUNTIF(C1510,"Show")+COUNTIF(C1514,"Show")) &amp; "."</f>
        <v>7.</v>
      </c>
      <c r="G1516" s="71" t="s">
        <v>934</v>
      </c>
    </row>
    <row r="1517" spans="2:8" hidden="1" outlineLevel="2">
      <c r="B1517" s="12" t="s">
        <v>3056</v>
      </c>
      <c r="C1517" s="9" t="str">
        <f>IF(OR('1. Criteria &amp; Spec Matrix'!E201='3. Dropdowns'!D242,'1. Criteria &amp; Spec Matrix'!E201='3. Dropdowns'!D243),"Hide",
IF('1. Criteria &amp; Spec Matrix'!E201='3. Dropdowns'!C240,"Hide",IF('1. Criteria &amp; Spec Matrix'!C200="Show","Show","Hide")))</f>
        <v>Show</v>
      </c>
      <c r="F1517" s="78"/>
      <c r="G1517" s="70" t="s">
        <v>133</v>
      </c>
      <c r="H1517" s="75" t="s">
        <v>961</v>
      </c>
    </row>
    <row r="1518" spans="2:8" hidden="1" outlineLevel="2">
      <c r="B1518" s="12" t="s">
        <v>3057</v>
      </c>
      <c r="C1518" s="9" t="str">
        <f>IF(AND('1. Criteria &amp; Spec Matrix'!C200="Show",'1. Criteria &amp; Spec Matrix'!E199='3. Dropdowns'!C233,'1. Criteria &amp; Spec Matrix'!E201='3. Dropdowns'!C239),"Show",
IF(AND('1. Criteria &amp; Spec Matrix'!C200="Show",OR('1. Criteria &amp; Spec Matrix'!E199="",'1. Criteria &amp; Spec Matrix'!E201="")),"Show","Hide"))</f>
        <v>Show</v>
      </c>
      <c r="F1518" s="78"/>
      <c r="G1518" s="70" t="str">
        <f>CHAR(97+COUNTIF($C$1517:C1517,"Show")) &amp; "."</f>
        <v>b.</v>
      </c>
      <c r="H1518" s="75" t="s">
        <v>962</v>
      </c>
    </row>
    <row r="1519" spans="2:8" ht="60" hidden="1" outlineLevel="2">
      <c r="B1519" s="12" t="s">
        <v>955</v>
      </c>
      <c r="C1519" s="9" t="str">
        <f>IF('1. Criteria &amp; Spec Matrix'!E202='3. Dropdowns'!C237,"Show",IF(AND('1. Criteria &amp; Spec Matrix'!C202="Show",'1. Criteria &amp; Spec Matrix'!E202=""),"Show","Hide"))</f>
        <v>Show</v>
      </c>
      <c r="F1519" s="78"/>
      <c r="G1519" s="70" t="str">
        <f>CHAR(97+COUNTIF($C$1517:C1518,"Show")) &amp; "."</f>
        <v>c.</v>
      </c>
      <c r="H1519" s="75" t="s">
        <v>964</v>
      </c>
    </row>
    <row r="1520" spans="2:8" ht="30" hidden="1" outlineLevel="2">
      <c r="B1520" s="12" t="s">
        <v>3058</v>
      </c>
      <c r="C1520" s="9" t="str">
        <f>IF('1. Criteria &amp; Spec Matrix'!E200='3. Dropdowns'!C236,"Show",IF(AND('1. Criteria &amp; Spec Matrix'!C200="Show",'1. Criteria &amp; Spec Matrix'!E200=""),"Show","Hide"))</f>
        <v>Show</v>
      </c>
      <c r="F1520" s="78"/>
      <c r="G1520" s="70" t="str">
        <f>CHAR(97+COUNTIF($C$1517:C1519,"Show")) &amp; "."</f>
        <v>d.</v>
      </c>
      <c r="H1520" s="75" t="s">
        <v>2681</v>
      </c>
    </row>
    <row r="1521" spans="2:8" ht="45" hidden="1" outlineLevel="2">
      <c r="B1521" s="12" t="s">
        <v>3059</v>
      </c>
      <c r="C1521" s="9" t="str">
        <f>IF('1. Criteria &amp; Spec Matrix'!E200='3. Dropdowns'!C235,"Show",IF(AND('1. Criteria &amp; Spec Matrix'!C200="Show",'1. Criteria &amp; Spec Matrix'!E200=""),"Show","Hide"))</f>
        <v>Show</v>
      </c>
      <c r="F1521" s="78"/>
      <c r="G1521" s="70" t="str">
        <f>CHAR(97+COUNTIF($C$1517:C1520,"Show")) &amp; "."</f>
        <v>e.</v>
      </c>
      <c r="H1521" s="75" t="s">
        <v>2682</v>
      </c>
    </row>
    <row r="1522" spans="2:8" hidden="1" outlineLevel="2">
      <c r="B1522" s="12" t="s">
        <v>3060</v>
      </c>
      <c r="C1522" s="9" t="str">
        <f>IF(OR('1. Criteria &amp; Spec Matrix'!E201='3. Dropdowns'!C240,'1. Criteria &amp; Spec Matrix'!E201=""),"Show","Hide")</f>
        <v>Show</v>
      </c>
      <c r="F1522" s="78"/>
      <c r="G1522" s="70" t="str">
        <f>CHAR(97+COUNTIF($C$1517:C1521,"Show")) &amp; "."</f>
        <v>f.</v>
      </c>
      <c r="H1522" s="75" t="s">
        <v>2505</v>
      </c>
    </row>
    <row r="1523" spans="2:8" ht="30" hidden="1" outlineLevel="2">
      <c r="B1523" s="12" t="s">
        <v>3061</v>
      </c>
      <c r="C1523" s="9" t="str">
        <f>IF(OR('1. Criteria &amp; Spec Matrix'!E201='3. Dropdowns'!C241,'1. Criteria &amp; Spec Matrix'!E201=""),"Show","Hide")</f>
        <v>Show</v>
      </c>
      <c r="F1523" s="78"/>
      <c r="G1523" s="70" t="str">
        <f>CHAR(97+COUNTIF($C$1517:C1522,"Show")) &amp; "."</f>
        <v>g.</v>
      </c>
      <c r="H1523" s="75" t="s">
        <v>2659</v>
      </c>
    </row>
    <row r="1524" spans="2:8" hidden="1" outlineLevel="2">
      <c r="B1524" s="12" t="s">
        <v>3054</v>
      </c>
      <c r="C1524" s="9" t="str">
        <f>IF('1. Criteria &amp; Spec Matrix'!E199='3. Dropdowns'!C231,"Hide",IF(OR('1. Criteria &amp; Spec Matrix'!E201='3. Dropdowns'!C242,'1. Criteria &amp; Spec Matrix'!E201=""),"Show","Hide"))</f>
        <v>Show</v>
      </c>
      <c r="F1524" s="78"/>
      <c r="G1524" s="70" t="str">
        <f>CHAR(97+COUNTIF($C$1517:C1523,"Show")) &amp; "."</f>
        <v>h.</v>
      </c>
      <c r="H1524" s="75" t="s">
        <v>3052</v>
      </c>
    </row>
    <row r="1525" spans="2:8" ht="30" hidden="1" outlineLevel="2">
      <c r="B1525" s="12" t="s">
        <v>3055</v>
      </c>
      <c r="C1525" s="9" t="str">
        <f>IF('1. Criteria &amp; Spec Matrix'!E199='3. Dropdowns'!C231,"Hide",IF(OR('1. Criteria &amp; Spec Matrix'!E201='3. Dropdowns'!C243,'1. Criteria &amp; Spec Matrix'!E201=""),"Show","Hide"))</f>
        <v>Show</v>
      </c>
      <c r="F1525" s="78"/>
      <c r="G1525" s="70" t="str">
        <f>CHAR(97+COUNTIF($C$1517:C1524,"Show")) &amp; "."</f>
        <v>i.</v>
      </c>
      <c r="H1525" s="75" t="s">
        <v>3053</v>
      </c>
    </row>
    <row r="1526" spans="2:8" ht="75" hidden="1" outlineLevel="2">
      <c r="B1526" s="12" t="s">
        <v>963</v>
      </c>
      <c r="C1526" s="9" t="str">
        <f>IF('1. Criteria &amp; Spec Matrix'!E199='3. Dropdowns'!C231,"Hide",
IF(AND('1. Criteria &amp; Spec Matrix'!C199="Show",'1. Criteria &amp; Spec Matrix'!E199='3. Dropdowns'!C232,'1. Criteria &amp; Spec Matrix'!E201='3. Dropdowns'!C239),"Hide",
IF(AND('1. Criteria &amp; Spec Matrix'!D5='3. Dropdowns'!C9,NOT('1. Criteria &amp; Spec Matrix'!E201='3. Dropdowns'!C241)),"Hide","Show")))</f>
        <v>Show</v>
      </c>
      <c r="F1526" s="78"/>
      <c r="G1526" s="70"/>
      <c r="H1526" s="129" t="s">
        <v>2683</v>
      </c>
    </row>
    <row r="1527" spans="2:8" hidden="1" outlineLevel="2">
      <c r="B1527" s="12" t="s">
        <v>966</v>
      </c>
      <c r="C1527" s="7" t="str">
        <f>IF(COUNTIF(C1528:C1533,"Show")&gt;0,"Show","Hide")</f>
        <v>Show</v>
      </c>
      <c r="F1527" s="78" t="str">
        <f>(1+COUNTIF(C1466,"Show")+COUNTIF(C1469,"Show")+COUNTIF(C1484,"Show")+COUNTIF(C1501,"Show")+COUNTIF(C1510,"Show")+COUNTIF(C1514,"Show")+COUNTIF(C1516,"Show")) &amp; "."</f>
        <v>8.</v>
      </c>
      <c r="G1527" s="71" t="s">
        <v>965</v>
      </c>
      <c r="H1527" s="129"/>
    </row>
    <row r="1528" spans="2:8" ht="18" hidden="1" customHeight="1" outlineLevel="2">
      <c r="B1528" s="12" t="s">
        <v>968</v>
      </c>
      <c r="C1528" s="9" t="str">
        <f>IF(OR('1. Criteria &amp; Spec Matrix'!E203='3. Dropdowns'!C245,'1. Criteria &amp; Spec Matrix'!E203=""),"Show","Hide")</f>
        <v>Show</v>
      </c>
      <c r="F1528" s="124"/>
      <c r="G1528" s="70" t="s">
        <v>133</v>
      </c>
      <c r="H1528" s="75" t="s">
        <v>971</v>
      </c>
    </row>
    <row r="1529" spans="2:8" hidden="1" outlineLevel="2">
      <c r="B1529" s="12" t="s">
        <v>972</v>
      </c>
      <c r="C1529" s="9" t="str">
        <f>IF(AND(OR('1. Criteria &amp; Spec Matrix'!F6='3. Dropdowns'!C21,'1. Criteria &amp; Spec Matrix'!F6='3. Dropdowns'!C22,'1. Criteria &amp; Spec Matrix'!F6='3. Dropdowns'!C23),'1. Criteria &amp; Spec Matrix'!E203='3. Dropdowns'!C246),"Show",
IF(AND(OR('1. Criteria &amp; Spec Matrix'!F6='3. Dropdowns'!C21,'1. Criteria &amp; Spec Matrix'!F6='3. Dropdowns'!C22,'1. Criteria &amp; Spec Matrix'!F6='3. Dropdowns'!C23),'1. Criteria &amp; Spec Matrix'!E203=""),"Show",
IF(AND('1. Criteria &amp; Spec Matrix'!F6="",'1. Criteria &amp; Spec Matrix'!E203=""),"Show","Hide")))</f>
        <v>Show</v>
      </c>
      <c r="F1529" s="124"/>
      <c r="G1529" s="70" t="str">
        <f>CHAR(97+COUNTIF($C$1528:C1528,"Show")) &amp; "."</f>
        <v>b.</v>
      </c>
      <c r="H1529" s="75" t="s">
        <v>978</v>
      </c>
    </row>
    <row r="1530" spans="2:8" hidden="1" outlineLevel="2">
      <c r="B1530" s="12" t="s">
        <v>975</v>
      </c>
      <c r="C1530" s="9" t="str">
        <f>IF(AND(OR('1. Criteria &amp; Spec Matrix'!F6='3. Dropdowns'!C24,'1. Criteria &amp; Spec Matrix'!F6='3. Dropdowns'!C25,'1. Criteria &amp; Spec Matrix'!F6='3. Dropdowns'!C26,'1. Criteria &amp; Spec Matrix'!F6='3. Dropdowns'!C27,'1. Criteria &amp; Spec Matrix'!F6='3. Dropdowns'!C28),'1. Criteria &amp; Spec Matrix'!E203='3. Dropdowns'!C246),"Show",
IF(AND(OR('1. Criteria &amp; Spec Matrix'!F6='3. Dropdowns'!C21,'1. Criteria &amp; Spec Matrix'!F6='3. Dropdowns'!C22,'1. Criteria &amp; Spec Matrix'!F6='3. Dropdowns'!C23),'1. Criteria &amp; Spec Matrix'!E203=""),"Show",
IF(AND('1. Criteria &amp; Spec Matrix'!F6="",'1. Criteria &amp; Spec Matrix'!E203=""),"Show","Hide")))</f>
        <v>Show</v>
      </c>
      <c r="G1530" s="70" t="str">
        <f>CHAR(97+COUNTIF($C$1528:C1529,"Show")) &amp; "."</f>
        <v>c.</v>
      </c>
      <c r="H1530" s="28" t="s">
        <v>979</v>
      </c>
    </row>
    <row r="1531" spans="2:8" hidden="1" outlineLevel="2">
      <c r="B1531" s="12" t="s">
        <v>976</v>
      </c>
      <c r="C1531" s="9" t="str">
        <f>IF(AND(OR('1. Criteria &amp; Spec Matrix'!F6='3. Dropdowns'!C29,'1. Criteria &amp; Spec Matrix'!F6='3. Dropdowns'!C30,'1. Criteria &amp; Spec Matrix'!F6='3. Dropdowns'!C31,'1. Criteria &amp; Spec Matrix'!F6='3. Dropdowns'!C32,'1. Criteria &amp; Spec Matrix'!F6='3. Dropdowns'!C33,'1. Criteria &amp; Spec Matrix'!F6='3. Dropdowns'!C34,'1. Criteria &amp; Spec Matrix'!F6='3. Dropdowns'!C35,'1. Criteria &amp; Spec Matrix'!F6='3. Dropdowns'!C36),'1. Criteria &amp; Spec Matrix'!E203='3. Dropdowns'!C246),"Show",
IF(AND(OR('1. Criteria &amp; Spec Matrix'!F6='3. Dropdowns'!C21,'1. Criteria &amp; Spec Matrix'!F6='3. Dropdowns'!C22,'1. Criteria &amp; Spec Matrix'!F6='3. Dropdowns'!C23),'1. Criteria &amp; Spec Matrix'!E203=""),"Show",
IF(AND('1. Criteria &amp; Spec Matrix'!F6="",'1. Criteria &amp; Spec Matrix'!E203=""),"Show","Hide")))</f>
        <v>Show</v>
      </c>
      <c r="G1531" s="70" t="str">
        <f>CHAR(97+COUNTIF($C$1528:C1530,"Show")) &amp; "."</f>
        <v>d.</v>
      </c>
      <c r="H1531" s="28" t="s">
        <v>980</v>
      </c>
    </row>
    <row r="1532" spans="2:8" ht="45" hidden="1" outlineLevel="2">
      <c r="B1532" s="12" t="s">
        <v>977</v>
      </c>
      <c r="C1532" s="9" t="str">
        <f>IF(OR('1. Criteria &amp; Spec Matrix'!E203='3. Dropdowns'!C246,'1. Criteria &amp; Spec Matrix'!E203=""),"Show","Hide")</f>
        <v>Show</v>
      </c>
      <c r="G1532" s="70" t="str">
        <f>CHAR(97+COUNTIF($C$1528:C1531,"Show")) &amp; "."</f>
        <v>e.</v>
      </c>
      <c r="H1532" s="28" t="s">
        <v>2684</v>
      </c>
    </row>
    <row r="1533" spans="2:8" hidden="1" outlineLevel="2">
      <c r="B1533" s="12" t="s">
        <v>974</v>
      </c>
      <c r="C1533" s="9" t="str">
        <f>IF(OR('1. Criteria &amp; Spec Matrix'!E203='3. Dropdowns'!C247,'1. Criteria &amp; Spec Matrix'!E203=""),"Show","Hide")</f>
        <v>Show</v>
      </c>
      <c r="G1533" s="70" t="str">
        <f>CHAR(97+COUNTIF($C$1528:C1532,"Show")) &amp; "."</f>
        <v>f.</v>
      </c>
      <c r="H1533" s="28" t="s">
        <v>973</v>
      </c>
    </row>
    <row r="1534" spans="2:8" hidden="1" outlineLevel="2">
      <c r="B1534" s="12"/>
      <c r="C1534" s="9" t="s">
        <v>116</v>
      </c>
      <c r="E1534" s="104" t="str">
        <f>CHAR(67+ COUNTIF(C1267,"Show")+COUNTIF(C1432,"Show")) &amp; "."</f>
        <v>E.</v>
      </c>
      <c r="F1534" s="71" t="s">
        <v>987</v>
      </c>
      <c r="G1534" s="104"/>
      <c r="H1534" s="28"/>
    </row>
    <row r="1535" spans="2:8" hidden="1" outlineLevel="2">
      <c r="B1535" s="76" t="s">
        <v>1008</v>
      </c>
      <c r="C1535" s="7" t="str">
        <f>IF(COUNTIF(C1536:C1548,"Show")&gt;0,"Show","Hide")</f>
        <v>Show</v>
      </c>
      <c r="E1535" s="70"/>
      <c r="F1535" s="78" t="s">
        <v>121</v>
      </c>
      <c r="G1535" s="71" t="s">
        <v>2555</v>
      </c>
    </row>
    <row r="1536" spans="2:8" ht="30" hidden="1" outlineLevel="2">
      <c r="B1536" s="12" t="s">
        <v>993</v>
      </c>
      <c r="C1536" s="9" t="str">
        <f>IF(OR('1. Criteria &amp; Spec Matrix'!E207='3. Dropdowns'!C250,'1. Criteria &amp; Spec Matrix'!E207='3. Dropdowns'!C251,'1. Criteria &amp; Spec Matrix'!E207=""),"Show","Hide")</f>
        <v>Show</v>
      </c>
      <c r="E1536" s="70"/>
      <c r="F1536" s="110"/>
      <c r="G1536" s="70" t="s">
        <v>133</v>
      </c>
      <c r="H1536" s="75" t="s">
        <v>1028</v>
      </c>
    </row>
    <row r="1537" spans="2:8" ht="45" hidden="1" outlineLevel="2">
      <c r="B1537" s="12" t="s">
        <v>994</v>
      </c>
      <c r="C1537" s="9" t="str">
        <f>IF(OR('1. Criteria &amp; Spec Matrix'!E209='3. Dropdowns'!C250,'1. Criteria &amp; Spec Matrix'!E209='3. Dropdowns'!C251,'1. Criteria &amp; Spec Matrix'!E209=""),"Show","Hide")</f>
        <v>Show</v>
      </c>
      <c r="E1537" s="70"/>
      <c r="F1537" s="110"/>
      <c r="G1537" s="70" t="str">
        <f>CHAR(97+COUNTIF($C$1536:C1536,"Show")) &amp; "."</f>
        <v>b.</v>
      </c>
      <c r="H1537" s="75" t="s">
        <v>1032</v>
      </c>
    </row>
    <row r="1538" spans="2:8" hidden="1" outlineLevel="2">
      <c r="B1538" s="12" t="s">
        <v>994</v>
      </c>
      <c r="C1538" s="9" t="str">
        <f>C1537</f>
        <v>Show</v>
      </c>
      <c r="E1538" s="70"/>
      <c r="F1538" s="110"/>
      <c r="G1538" s="70"/>
      <c r="H1538" s="75" t="str">
        <f>IF('1. Criteria &amp; Spec Matrix'!E210="","Contractor may select three products.",'1. Criteria &amp; Spec Matrix'!E210)</f>
        <v>Contractor may select three products.</v>
      </c>
    </row>
    <row r="1539" spans="2:8" ht="45" hidden="1" outlineLevel="2">
      <c r="B1539" s="12" t="s">
        <v>995</v>
      </c>
      <c r="C1539" s="9" t="str">
        <f>IF('1. Criteria &amp; Spec Matrix'!E211='3. Dropdowns'!C252,"Hide","Show")</f>
        <v>Show</v>
      </c>
      <c r="E1539" s="70"/>
      <c r="F1539" s="110"/>
      <c r="G1539" s="70" t="str">
        <f>IF(C1538="Show",(CHAR(96+COUNTIF($C$1536:C1538,"Show")) &amp; "."),CHAR(97+COUNTIF($C$1536:C1538,"Show")) &amp; ".")</f>
        <v>c.</v>
      </c>
      <c r="H1539" s="75" t="s">
        <v>1033</v>
      </c>
    </row>
    <row r="1540" spans="2:8" hidden="1" outlineLevel="2">
      <c r="B1540" s="12" t="s">
        <v>996</v>
      </c>
      <c r="C1540" s="9" t="str">
        <f>IF(OR('1. Criteria &amp; Spec Matrix'!E212='3. Dropdowns'!C250,'1. Criteria &amp; Spec Matrix'!E212='3. Dropdowns'!C251,'1. Criteria &amp; Spec Matrix'!E212=""),"Show","Hide")</f>
        <v>Show</v>
      </c>
      <c r="G1540" s="70" t="str">
        <f>IF(C1539="Show",(CHAR(96+COUNTIF($C$1536:C1539,"Show")) &amp; "."),CHAR(97+COUNTIF($C$1536:C1539,"Show")) &amp; ".")</f>
        <v>d.</v>
      </c>
      <c r="H1540" s="75" t="s">
        <v>1034</v>
      </c>
    </row>
    <row r="1541" spans="2:8" hidden="1" outlineLevel="2">
      <c r="B1541" s="12" t="s">
        <v>1025</v>
      </c>
      <c r="C1541" s="9" t="str">
        <f>C1540</f>
        <v>Show</v>
      </c>
      <c r="G1541" s="70"/>
      <c r="H1541" s="75" t="str">
        <f>IF('1. Criteria &amp; Spec Matrix'!E213="","Contractor may select product type.",'1. Criteria &amp; Spec Matrix'!E213)</f>
        <v>Contractor may select product type.</v>
      </c>
    </row>
    <row r="1542" spans="2:8" ht="45" hidden="1" outlineLevel="2">
      <c r="B1542" s="12" t="s">
        <v>997</v>
      </c>
      <c r="C1542" s="9" t="str">
        <f>IF(OR('1. Criteria &amp; Spec Matrix'!E214='3. Dropdowns'!C250,'1. Criteria &amp; Spec Matrix'!E214='3. Dropdowns'!C251,'1. Criteria &amp; Spec Matrix'!E214=""),"Show","Hide")</f>
        <v>Show</v>
      </c>
      <c r="F1542" s="116"/>
      <c r="G1542" s="70" t="str">
        <f>IF(AND(C1538="Show",C1541="Show"),(CHAR(95+COUNTIF($C$1536:C1541,"Show")) &amp; "."),
IF(OR(C1538="Show",C1541="Show"),(CHAR(96+COUNTIF($C$1536:C1541,"Show")) &amp; "."),
(CHAR(95+COUNTIF($C$1536:C1541,"Show")) &amp; ".")))</f>
        <v>e.</v>
      </c>
      <c r="H1542" s="117" t="s">
        <v>2685</v>
      </c>
    </row>
    <row r="1543" spans="2:8" ht="30" hidden="1" outlineLevel="2">
      <c r="B1543" s="12" t="s">
        <v>999</v>
      </c>
      <c r="C1543" s="9" t="str">
        <f>IF(OR('1. Criteria &amp; Spec Matrix'!E215='3. Dropdowns'!C250,'1. Criteria &amp; Spec Matrix'!E215='3. Dropdowns'!C251,'1. Criteria &amp; Spec Matrix'!E215=""),"Show","Hide")</f>
        <v>Show</v>
      </c>
      <c r="F1543" s="116"/>
      <c r="G1543" s="70" t="str">
        <f>IF(AND(C1538="Show",C1541="Show"),(CHAR(95+COUNTIF($C$1536:C1542,"Show")) &amp; "."),
IF(OR(C1538="Show",C1541="Show"),(CHAR(96+COUNTIF($C$1536:C1542,"Show")) &amp; "."),
(CHAR(95+COUNTIF($C$1536:C1542,"Show")) &amp; ".")))</f>
        <v>f.</v>
      </c>
      <c r="H1543" s="117" t="s">
        <v>1035</v>
      </c>
    </row>
    <row r="1544" spans="2:8" ht="45" hidden="1" outlineLevel="2">
      <c r="B1544" s="12" t="s">
        <v>1000</v>
      </c>
      <c r="C1544" s="9" t="str">
        <f>IF(OR('1. Criteria &amp; Spec Matrix'!E216='3. Dropdowns'!C250,'1. Criteria &amp; Spec Matrix'!E216='3. Dropdowns'!C251,'1. Criteria &amp; Spec Matrix'!E216=""),"Show","Hide")</f>
        <v>Show</v>
      </c>
      <c r="F1544" s="116"/>
      <c r="G1544" s="70" t="str">
        <f>IF(AND(C1538="Show",C1541="Show"),(CHAR(95+COUNTIF($C$1536:C1543,"Show")) &amp; "."),
IF(OR(C1538="Show",C1541="Show"),(CHAR(96+COUNTIF($C$1536:C1543,"Show")) &amp; "."),
(CHAR(95+COUNTIF($C$1536:C1543,"Show")) &amp; ".")))</f>
        <v>g.</v>
      </c>
      <c r="H1544" s="117" t="s">
        <v>1036</v>
      </c>
    </row>
    <row r="1545" spans="2:8" ht="75" hidden="1" outlineLevel="2">
      <c r="B1545" s="12" t="s">
        <v>1002</v>
      </c>
      <c r="C1545" s="9" t="str">
        <f>IF(OR('1. Criteria &amp; Spec Matrix'!E217='3. Dropdowns'!C250,'1. Criteria &amp; Spec Matrix'!E217='3. Dropdowns'!C251,'1. Criteria &amp; Spec Matrix'!E217=""),"Show","Hide")</f>
        <v>Show</v>
      </c>
      <c r="F1545" s="116"/>
      <c r="G1545" s="70" t="str">
        <f>IF(AND(C1538="Show",C1541="Show"),(CHAR(95+COUNTIF($C$1536:C1544,"Show")) &amp; "."),
IF(OR(C1538="Show",C1541="Show"),(CHAR(96+COUNTIF($C$1536:C1544,"Show")) &amp; "."),
(CHAR(95+COUNTIF($C$1536:C1544,"Show")) &amp; ".")))</f>
        <v>h.</v>
      </c>
      <c r="H1545" s="117" t="s">
        <v>2686</v>
      </c>
    </row>
    <row r="1546" spans="2:8" ht="30" hidden="1" outlineLevel="2">
      <c r="B1546" s="12" t="s">
        <v>1003</v>
      </c>
      <c r="C1546" s="9" t="str">
        <f>IF(OR('1. Criteria &amp; Spec Matrix'!E218='3. Dropdowns'!C250,'1. Criteria &amp; Spec Matrix'!E218='3. Dropdowns'!C251,'1. Criteria &amp; Spec Matrix'!E218=""),"Show","Hide")</f>
        <v>Show</v>
      </c>
      <c r="F1546" s="116"/>
      <c r="G1546" s="70" t="str">
        <f>IF(AND(C1538="Show",C1541="Show"),(CHAR(95+COUNTIF($C$1536:C1545,"Show")) &amp; "."),
IF(OR(C1538="Show",C1541="Show"),(CHAR(96+COUNTIF($C$1536:C1545,"Show")) &amp; "."),
(CHAR(95+COUNTIF($C$1536:C1545,"Show")) &amp; ".")))</f>
        <v>i.</v>
      </c>
      <c r="H1546" s="117" t="s">
        <v>1038</v>
      </c>
    </row>
    <row r="1547" spans="2:8" ht="30" hidden="1" outlineLevel="2">
      <c r="B1547" s="12" t="s">
        <v>1004</v>
      </c>
      <c r="C1547" s="9" t="str">
        <f>IF(OR('1. Criteria &amp; Spec Matrix'!E219='3. Dropdowns'!C250,'1. Criteria &amp; Spec Matrix'!E219='3. Dropdowns'!C251,'1. Criteria &amp; Spec Matrix'!E219=""),"Show","Hide")</f>
        <v>Show</v>
      </c>
      <c r="F1547" s="116"/>
      <c r="G1547" s="70" t="str">
        <f>IF(AND(C1538="Show",C1541="Show"),(CHAR(95+COUNTIF($C$1536:C1546,"Show")) &amp; "."),
IF(OR(C1538="Show",C1541="Show"),(CHAR(96+COUNTIF($C$1536:C1546,"Show")) &amp; "."),
(CHAR(95+COUNTIF($C$1536:C1546,"Show")) &amp; ".")))</f>
        <v>j.</v>
      </c>
      <c r="H1547" s="117" t="s">
        <v>1039</v>
      </c>
    </row>
    <row r="1548" spans="2:8" ht="30" hidden="1" outlineLevel="2">
      <c r="B1548" s="12" t="s">
        <v>1005</v>
      </c>
      <c r="C1548" s="9" t="str">
        <f>IF(OR('1. Criteria &amp; Spec Matrix'!E220='3. Dropdowns'!C250,'1. Criteria &amp; Spec Matrix'!E220='3. Dropdowns'!C251,'1. Criteria &amp; Spec Matrix'!E220=""),"Show","Hide")</f>
        <v>Show</v>
      </c>
      <c r="F1548" s="116"/>
      <c r="G1548" s="70" t="str">
        <f>IF(AND(C1538="Show",C1541="Show"),(CHAR(95+COUNTIF($C$1536:C1547,"Show")) &amp; "."),
IF(OR(C1538="Show",C1541="Show"),(CHAR(96+COUNTIF($C$1536:C1547,"Show")) &amp; "."),
(CHAR(95+COUNTIF($C$1536:C1547,"Show")) &amp; ".")))</f>
        <v>k.</v>
      </c>
      <c r="H1548" s="117" t="s">
        <v>2687</v>
      </c>
    </row>
    <row r="1549" spans="2:8" hidden="1" outlineLevel="2">
      <c r="B1549" s="12" t="s">
        <v>1040</v>
      </c>
      <c r="C1549" s="9" t="str">
        <f>'1. Criteria &amp; Spec Matrix'!C221</f>
        <v>Show</v>
      </c>
      <c r="E1549" s="70"/>
      <c r="F1549" s="78" t="str">
        <f>(1+COUNTIF(C1535,"Show")) &amp; "."</f>
        <v>2.</v>
      </c>
      <c r="G1549" s="71" t="s">
        <v>1044</v>
      </c>
      <c r="H1549" s="28"/>
    </row>
    <row r="1550" spans="2:8" ht="30" hidden="1" outlineLevel="2">
      <c r="B1550" s="12" t="s">
        <v>1040</v>
      </c>
      <c r="C1550" s="9" t="str">
        <f>C1549</f>
        <v>Show</v>
      </c>
      <c r="E1550" s="70"/>
      <c r="F1550" s="78"/>
      <c r="G1550" s="70" t="s">
        <v>133</v>
      </c>
      <c r="H1550" s="28" t="s">
        <v>1050</v>
      </c>
    </row>
    <row r="1551" spans="2:8" ht="90" hidden="1" outlineLevel="2">
      <c r="B1551" s="12" t="s">
        <v>1045</v>
      </c>
      <c r="C1551" s="9" t="str">
        <f>IF('1. Criteria &amp; Spec Matrix'!E221='3. Dropdowns'!C264,"Show",
IF(AND('1. Criteria &amp; Spec Matrix'!C221="Show",'1. Criteria &amp; Spec Matrix'!E221=""),"Show","Hide"))</f>
        <v>Show</v>
      </c>
      <c r="F1551" s="70"/>
      <c r="G1551" s="70" t="str">
        <f>CHAR(97+COUNTIF($C$1550:C1550,"Show")) &amp; "."</f>
        <v>b.</v>
      </c>
      <c r="H1551" s="75" t="s">
        <v>1048</v>
      </c>
    </row>
    <row r="1552" spans="2:8" ht="30" hidden="1" outlineLevel="2">
      <c r="B1552" s="12" t="s">
        <v>1047</v>
      </c>
      <c r="C1552" s="9" t="str">
        <f>IF('1. Criteria &amp; Spec Matrix'!E221='3. Dropdowns'!C265,"Show",
IF(AND('1. Criteria &amp; Spec Matrix'!C221="Show",'1. Criteria &amp; Spec Matrix'!E221=""),"Show","Hide"))</f>
        <v>Show</v>
      </c>
      <c r="G1552" s="70" t="str">
        <f>CHAR(97+COUNTIF($C$1550:C1551,"Show")) &amp; "."</f>
        <v>c.</v>
      </c>
      <c r="H1552" s="75" t="s">
        <v>1049</v>
      </c>
    </row>
    <row r="1553" spans="2:8" hidden="1" outlineLevel="2">
      <c r="B1553" s="76"/>
      <c r="C1553" s="7" t="s">
        <v>116</v>
      </c>
      <c r="F1553" s="78" t="str">
        <f>(1+COUNTIF(C1535,"Show")+COUNTIF(C1549,"Show")) &amp; "."</f>
        <v>3.</v>
      </c>
      <c r="G1553" s="71" t="s">
        <v>1051</v>
      </c>
      <c r="H1553" s="117"/>
    </row>
    <row r="1554" spans="2:8" hidden="1" outlineLevel="2">
      <c r="B1554" s="12" t="s">
        <v>1147</v>
      </c>
      <c r="C1554" s="9" t="str">
        <f>IF(OR('1. Criteria &amp; Spec Matrix'!E226='3. Dropdowns'!C274,'1. Criteria &amp; Spec Matrix'!E226='3. Dropdowns'!C276,'1. Criteria &amp; Spec Matrix'!E226='3. Dropdowns'!C278,'1. Criteria &amp; Spec Matrix'!E226='3. Dropdowns'!C279,'1. Criteria &amp; Spec Matrix'!E226=""),"Show","Hide")</f>
        <v>Show</v>
      </c>
      <c r="F1554" s="116"/>
      <c r="G1554" s="70" t="s">
        <v>133</v>
      </c>
      <c r="H1554" s="117" t="s">
        <v>1153</v>
      </c>
    </row>
    <row r="1555" spans="2:8" hidden="1" outlineLevel="2">
      <c r="B1555" s="12" t="s">
        <v>1148</v>
      </c>
      <c r="C1555" s="9" t="str">
        <f>IF(OR('1. Criteria &amp; Spec Matrix'!E226='3. Dropdowns'!C275,'1. Criteria &amp; Spec Matrix'!E226='3. Dropdowns'!C277,'1. Criteria &amp; Spec Matrix'!E226='3. Dropdowns'!C278,'1. Criteria &amp; Spec Matrix'!E226='3. Dropdowns'!C279,'1. Criteria &amp; Spec Matrix'!E226=""),"Show","Hide")</f>
        <v>Show</v>
      </c>
      <c r="F1555" s="116"/>
      <c r="G1555" s="70" t="str">
        <f>CHAR(97+COUNTIF($C$1554:C1554,"Show")) &amp; "."</f>
        <v>b.</v>
      </c>
      <c r="H1555" s="117" t="s">
        <v>1152</v>
      </c>
    </row>
    <row r="1556" spans="2:8" ht="45" hidden="1" outlineLevel="2">
      <c r="B1556" s="12" t="s">
        <v>1156</v>
      </c>
      <c r="C1556" s="9" t="str">
        <f>IF(OR('1. Criteria &amp; Spec Matrix'!E226='3. Dropdowns'!C272,'1. Criteria &amp; Spec Matrix'!E226='3. Dropdowns'!C273,'1. Criteria &amp; Spec Matrix'!E226='3. Dropdowns'!C275,'1. Criteria &amp; Spec Matrix'!E226='3. Dropdowns'!C277,'1. Criteria &amp; Spec Matrix'!E226=""),"Show","Hide")</f>
        <v>Show</v>
      </c>
      <c r="F1556" s="116"/>
      <c r="G1556" s="70" t="str">
        <f>CHAR(97+COUNTIF($C$1554:C1555,"Show")) &amp; "."</f>
        <v>c.</v>
      </c>
      <c r="H1556" s="117" t="s">
        <v>1149</v>
      </c>
    </row>
    <row r="1557" spans="2:8" ht="30" hidden="1" outlineLevel="2">
      <c r="B1557" s="12" t="s">
        <v>1155</v>
      </c>
      <c r="C1557" s="9" t="str">
        <f>IF(OR('1. Criteria &amp; Spec Matrix'!E226="",'1. Criteria &amp; Spec Matrix'!E226='3. Dropdowns'!C272),"Show","Hide")</f>
        <v>Show</v>
      </c>
      <c r="F1557" s="116"/>
      <c r="G1557" s="70" t="str">
        <f>CHAR(97+COUNTIF($C$1554:C1556,"Show")) &amp; "."</f>
        <v>d.</v>
      </c>
      <c r="H1557" s="117" t="s">
        <v>2688</v>
      </c>
    </row>
    <row r="1558" spans="2:8" hidden="1" outlineLevel="2">
      <c r="B1558" s="12" t="s">
        <v>1092</v>
      </c>
      <c r="C1558" s="9" t="str">
        <f>IF('1. Criteria &amp; Spec Matrix'!E226='3. Dropdowns'!C271,"Hide","Show")</f>
        <v>Show</v>
      </c>
      <c r="F1558" s="116"/>
      <c r="G1558" s="70" t="str">
        <f>CHAR(97+COUNTIF($C$1554:C1557,"Show")) &amp; "."</f>
        <v>e.</v>
      </c>
      <c r="H1558" s="117" t="s">
        <v>1150</v>
      </c>
    </row>
    <row r="1559" spans="2:8" hidden="1" outlineLevel="2">
      <c r="B1559" s="12" t="s">
        <v>1157</v>
      </c>
      <c r="C1559" s="9" t="str">
        <f>C1556</f>
        <v>Show</v>
      </c>
      <c r="F1559" s="116"/>
      <c r="G1559" s="70" t="str">
        <f>CHAR(97+COUNTIF($C$1554:C1558,"Show")) &amp; "."</f>
        <v>f.</v>
      </c>
      <c r="H1559" s="117" t="s">
        <v>1151</v>
      </c>
    </row>
    <row r="1560" spans="2:8" ht="30" hidden="1" outlineLevel="2">
      <c r="B1560" s="12" t="s">
        <v>1092</v>
      </c>
      <c r="C1560" s="9" t="str">
        <f>C1558</f>
        <v>Show</v>
      </c>
      <c r="F1560" s="116"/>
      <c r="G1560" s="70" t="str">
        <f>CHAR(97+COUNTIF($C$1554:C1559,"Show")) &amp; "."</f>
        <v>g.</v>
      </c>
      <c r="H1560" s="117" t="s">
        <v>1154</v>
      </c>
    </row>
    <row r="1561" spans="2:8" ht="30" hidden="1" outlineLevel="2">
      <c r="B1561" s="76" t="s">
        <v>1124</v>
      </c>
      <c r="C1561" s="9" t="str">
        <f>IF('1. Criteria &amp; Spec Matrix'!E228='3. Dropdowns'!C285,"Hide","Show")</f>
        <v>Show</v>
      </c>
      <c r="F1561" s="116"/>
      <c r="G1561" s="70" t="str">
        <f>CHAR(97+COUNTIF($C$1554:C1560,"Show")) &amp; "."</f>
        <v>h.</v>
      </c>
      <c r="H1561" s="117" t="s">
        <v>1158</v>
      </c>
    </row>
    <row r="1562" spans="2:8" hidden="1" outlineLevel="2">
      <c r="B1562" s="76"/>
      <c r="C1562" s="7" t="s">
        <v>116</v>
      </c>
      <c r="F1562" s="116"/>
      <c r="G1562" s="70" t="str">
        <f>CHAR(97+COUNTIF($C$1554:C1561,"Show")) &amp; "."</f>
        <v>i.</v>
      </c>
      <c r="H1562" s="117" t="s">
        <v>1159</v>
      </c>
    </row>
    <row r="1563" spans="2:8" hidden="1" outlineLevel="2">
      <c r="B1563" s="12" t="s">
        <v>1168</v>
      </c>
      <c r="C1563" s="7" t="str">
        <f>IF(COUNTIF(C1564:C1568,"Show")&gt;0,"Show","Hide")</f>
        <v>Show</v>
      </c>
      <c r="F1563" s="121" t="str">
        <f>(2+COUNTIF(C1535,"Show")+COUNTIF(C1549,"Show")) &amp; "."</f>
        <v>4.</v>
      </c>
      <c r="G1563" s="71" t="s">
        <v>1163</v>
      </c>
      <c r="H1563" s="117"/>
    </row>
    <row r="1564" spans="2:8" hidden="1" outlineLevel="2">
      <c r="B1564" s="12" t="s">
        <v>1166</v>
      </c>
      <c r="C1564" s="9" t="str">
        <f>IF(OR('1. Criteria &amp; Spec Matrix'!E234='3. Dropdowns'!C302,'1. Criteria &amp; Spec Matrix'!E234=""),"Show","Hide")</f>
        <v>Show</v>
      </c>
      <c r="F1564" s="116"/>
      <c r="G1564" s="70" t="s">
        <v>133</v>
      </c>
      <c r="H1564" s="117" t="s">
        <v>1170</v>
      </c>
    </row>
    <row r="1565" spans="2:8" ht="30" hidden="1" outlineLevel="2">
      <c r="B1565" s="12" t="s">
        <v>1167</v>
      </c>
      <c r="C1565" s="9" t="str">
        <f>IF(AND(NOT('1. Criteria &amp; Spec Matrix'!D7='3. Dropdowns'!C17),OR('1. Criteria &amp; Spec Matrix'!E234='3. Dropdowns'!C302,'1. Criteria &amp; Spec Matrix'!E234="")),"Show","Hide")</f>
        <v>Show</v>
      </c>
      <c r="G1565" s="70" t="str">
        <f>CHAR(97+COUNTIF($C$1564:C1564,"Show")) &amp; "."</f>
        <v>b.</v>
      </c>
      <c r="H1565" s="117" t="s">
        <v>1169</v>
      </c>
    </row>
    <row r="1566" spans="2:8" ht="30" hidden="1" outlineLevel="2">
      <c r="B1566" s="12" t="s">
        <v>1167</v>
      </c>
      <c r="C1566" s="9" t="str">
        <f>C1565</f>
        <v>Show</v>
      </c>
      <c r="G1566" s="70" t="str">
        <f>CHAR(97+COUNTIF($C$1564:C1565,"Show")) &amp; "."</f>
        <v>c.</v>
      </c>
      <c r="H1566" s="117" t="s">
        <v>1171</v>
      </c>
    </row>
    <row r="1567" spans="2:8" ht="30" hidden="1" outlineLevel="2">
      <c r="B1567" s="12" t="s">
        <v>1167</v>
      </c>
      <c r="C1567" s="9" t="str">
        <f>C1565</f>
        <v>Show</v>
      </c>
      <c r="G1567" s="70" t="str">
        <f>CHAR(97+COUNTIF($C$1564:C1566,"Show")) &amp; "."</f>
        <v>d.</v>
      </c>
      <c r="H1567" s="117" t="s">
        <v>1172</v>
      </c>
    </row>
    <row r="1568" spans="2:8" ht="30" hidden="1" outlineLevel="2">
      <c r="B1568" s="12" t="s">
        <v>3062</v>
      </c>
      <c r="C1568" s="9" t="str">
        <f>IF(OR('1. Criteria &amp; Spec Matrix'!F5="",'1. Criteria &amp; Spec Matrix'!F5='3. Dropdowns'!C12),"Show","Hide")</f>
        <v>Show</v>
      </c>
      <c r="G1568" s="70" t="str">
        <f>CHAR(97+COUNTIF($C$1564:C1567,"Show")) &amp; "."</f>
        <v>e.</v>
      </c>
      <c r="H1568" s="117" t="s">
        <v>3063</v>
      </c>
    </row>
    <row r="1569" spans="2:8" hidden="1" outlineLevel="2">
      <c r="B1569" s="76"/>
      <c r="C1569" s="7" t="s">
        <v>116</v>
      </c>
      <c r="E1569" s="104" t="str">
        <f>CHAR(68+ COUNTIF(C1267,"Show")+COUNTIF(C1432,"Show")) &amp; "."</f>
        <v>F.</v>
      </c>
      <c r="F1569" s="120" t="s">
        <v>1175</v>
      </c>
      <c r="G1569" s="70"/>
      <c r="H1569" s="117"/>
    </row>
    <row r="1570" spans="2:8" hidden="1" outlineLevel="2">
      <c r="B1570" s="76" t="s">
        <v>2559</v>
      </c>
      <c r="C1570" s="7" t="str">
        <f>IF(COUNTIF(C1571:C1576,"Show")&gt;0,"Show","Hide")</f>
        <v>Show</v>
      </c>
      <c r="F1570" s="121" t="s">
        <v>121</v>
      </c>
      <c r="G1570" s="12" t="s">
        <v>1176</v>
      </c>
      <c r="H1570" s="117"/>
    </row>
    <row r="1571" spans="2:8" ht="30" hidden="1" outlineLevel="2">
      <c r="B1571" s="12" t="s">
        <v>1177</v>
      </c>
      <c r="C1571" s="9" t="str">
        <f>IF('1. Criteria &amp; Spec Matrix'!E236='3. Dropdowns'!C306,"Show",IF(AND('1. Criteria &amp; Spec Matrix'!C236="Show",'1. Criteria &amp; Spec Matrix'!E236=""),"Show","Hide"))</f>
        <v>Show</v>
      </c>
      <c r="F1571" s="121"/>
      <c r="G1571" s="70" t="s">
        <v>133</v>
      </c>
      <c r="H1571" s="117" t="s">
        <v>2623</v>
      </c>
    </row>
    <row r="1572" spans="2:8" hidden="1" outlineLevel="2">
      <c r="B1572" s="12" t="s">
        <v>1177</v>
      </c>
      <c r="C1572" s="9" t="str">
        <f>C1571</f>
        <v>Show</v>
      </c>
      <c r="F1572" s="121"/>
      <c r="G1572" s="70" t="str">
        <f>CHAR(97+COUNTIF($C$1571:C1571,"Show")) &amp; "."</f>
        <v>b.</v>
      </c>
      <c r="H1572" s="117" t="s">
        <v>1185</v>
      </c>
    </row>
    <row r="1573" spans="2:8" ht="90" hidden="1" outlineLevel="2">
      <c r="B1573" s="12" t="s">
        <v>1181</v>
      </c>
      <c r="C1573" s="9" t="str">
        <f>IF(AND('1. Criteria &amp; Spec Matrix'!C237="Show",NOT('1. Criteria &amp; Spec Matrix'!D7='3. Dropdowns'!C17)),"Show","Hide")</f>
        <v>Show</v>
      </c>
      <c r="F1573" s="121"/>
      <c r="G1573" s="70" t="str">
        <f>CHAR(97+COUNTIF($C$1571:C1572,"Show")) &amp; "."</f>
        <v>c.</v>
      </c>
      <c r="H1573" s="117" t="s">
        <v>2624</v>
      </c>
    </row>
    <row r="1574" spans="2:8" ht="45" hidden="1" outlineLevel="2">
      <c r="B1574" s="12" t="s">
        <v>1182</v>
      </c>
      <c r="C1574" s="9" t="str">
        <f>IF(AND('1. Criteria &amp; Spec Matrix'!C237="Show",'1. Criteria &amp; Spec Matrix'!D7='3. Dropdowns'!C17),"Show",
IF(AND('1. Criteria &amp; Spec Matrix'!C237="Show",'1. Criteria &amp; Spec Matrix'!D7=""),"Show","Hide"))</f>
        <v>Show</v>
      </c>
      <c r="F1574" s="121"/>
      <c r="G1574" s="70" t="str">
        <f>CHAR(97+COUNTIF($C$1571:C1573,"Show")) &amp; "."</f>
        <v>d.</v>
      </c>
      <c r="H1574" s="117" t="s">
        <v>3116</v>
      </c>
    </row>
    <row r="1575" spans="2:8" ht="60" hidden="1" outlineLevel="2">
      <c r="B1575" s="12" t="s">
        <v>1181</v>
      </c>
      <c r="C1575" s="9" t="str">
        <f>C1573</f>
        <v>Show</v>
      </c>
      <c r="F1575" s="121"/>
      <c r="G1575" s="70" t="str">
        <f>CHAR(97+COUNTIF($C$1571:C1574,"Show")) &amp; "."</f>
        <v>e.</v>
      </c>
      <c r="H1575" s="117" t="s">
        <v>1188</v>
      </c>
    </row>
    <row r="1576" spans="2:8" ht="60" hidden="1" outlineLevel="2">
      <c r="B1576" s="12" t="s">
        <v>1182</v>
      </c>
      <c r="C1576" s="9" t="str">
        <f>C1574</f>
        <v>Show</v>
      </c>
      <c r="F1576" s="121"/>
      <c r="G1576" s="70" t="str">
        <f>CHAR(97+COUNTIF($C$1571:C1575,"Show")) &amp; "."</f>
        <v>f.</v>
      </c>
      <c r="H1576" s="117" t="s">
        <v>1189</v>
      </c>
    </row>
    <row r="1577" spans="2:8" hidden="1" outlineLevel="2">
      <c r="B1577" s="12" t="s">
        <v>1197</v>
      </c>
      <c r="C1577" s="7" t="str">
        <f>IF(COUNTIF(C1578:C1579,"Show")&gt;0,"Show","Hide")</f>
        <v>Show</v>
      </c>
      <c r="F1577" s="121" t="str">
        <f>(1+COUNTIF(C1570,"Show")) &amp; "."</f>
        <v>2.</v>
      </c>
      <c r="G1577" s="71" t="s">
        <v>1196</v>
      </c>
      <c r="H1577" s="117"/>
    </row>
    <row r="1578" spans="2:8" ht="45" hidden="1" outlineLevel="2">
      <c r="B1578" s="12" t="s">
        <v>1197</v>
      </c>
      <c r="C1578" s="9" t="str">
        <f>IF(OR('1. Criteria &amp; Spec Matrix'!E238='3. Dropdowns'!C306,'1. Criteria &amp; Spec Matrix'!E239='3. Dropdowns'!C309),"Show",IF('1. Criteria &amp; Spec Matrix'!E238="","Show",IF(AND('1. Criteria &amp; Spec Matrix'!C239="Show",'1. Criteria &amp; Spec Matrix'!E239=""),"Show","Hide")))</f>
        <v>Show</v>
      </c>
      <c r="F1578" s="121"/>
      <c r="G1578" s="70" t="s">
        <v>133</v>
      </c>
      <c r="H1578" s="117" t="s">
        <v>1203</v>
      </c>
    </row>
    <row r="1579" spans="2:8" ht="107.1" hidden="1" customHeight="1" outlineLevel="2">
      <c r="B1579" s="12" t="s">
        <v>1204</v>
      </c>
      <c r="C1579" s="9" t="str">
        <f>IF('1. Criteria &amp; Spec Matrix'!E239='3. Dropdowns'!C309,"Show",IF(AND('1. Criteria &amp; Spec Matrix'!C239="Show",'1. Criteria &amp; Spec Matrix'!E239=""),"Show","Hide"))</f>
        <v>Show</v>
      </c>
      <c r="F1579" s="121"/>
      <c r="G1579" s="70" t="str">
        <f>CHAR(97+COUNTIF($C$1571:C1571,"Show")) &amp; "."</f>
        <v>b.</v>
      </c>
      <c r="H1579" s="117" t="s">
        <v>1205</v>
      </c>
    </row>
    <row r="1580" spans="2:8" hidden="1" outlineLevel="2">
      <c r="B1580" s="76"/>
      <c r="C1580" s="7" t="s">
        <v>116</v>
      </c>
      <c r="F1580" s="121" t="str">
        <f>(1+COUNTIF(C1570,"Show")+COUNTIF(C1577,"Show")) &amp; "."</f>
        <v>3.</v>
      </c>
      <c r="G1580" s="71" t="s">
        <v>1208</v>
      </c>
      <c r="H1580" s="117"/>
    </row>
    <row r="1581" spans="2:8" ht="30" hidden="1" outlineLevel="2">
      <c r="B1581" s="76"/>
      <c r="C1581" s="7" t="s">
        <v>116</v>
      </c>
      <c r="F1581" s="121"/>
      <c r="G1581" s="70" t="s">
        <v>133</v>
      </c>
      <c r="H1581" s="117" t="s">
        <v>1213</v>
      </c>
    </row>
    <row r="1582" spans="2:8" ht="93" hidden="1" customHeight="1" outlineLevel="2">
      <c r="B1582" s="76" t="s">
        <v>1214</v>
      </c>
      <c r="C1582" s="9" t="str">
        <f>IF('1. Criteria &amp; Spec Matrix'!E240='3. Dropdowns'!C314,"Hide","Show")</f>
        <v>Show</v>
      </c>
      <c r="F1582" s="121"/>
      <c r="G1582" s="70" t="str">
        <f>CHAR(97+COUNTIF($C$1574:C1574,"Show")) &amp; "."</f>
        <v>b.</v>
      </c>
      <c r="H1582" s="117" t="s">
        <v>2574</v>
      </c>
    </row>
    <row r="1583" spans="2:8" ht="30" hidden="1" outlineLevel="2">
      <c r="B1583" s="76" t="s">
        <v>1214</v>
      </c>
      <c r="C1583" s="26" t="str">
        <f>C1582</f>
        <v>Show</v>
      </c>
      <c r="F1583" s="121"/>
      <c r="G1583" s="70" t="str">
        <f>CHAR(97+COUNTIF($C$1574:C1575,"Show")) &amp; "."</f>
        <v>c.</v>
      </c>
      <c r="H1583" s="117" t="s">
        <v>1215</v>
      </c>
    </row>
    <row r="1584" spans="2:8" ht="32.1" hidden="1" customHeight="1" outlineLevel="2">
      <c r="B1584" s="76" t="s">
        <v>1214</v>
      </c>
      <c r="C1584" s="26" t="str">
        <f>C1582</f>
        <v>Show</v>
      </c>
      <c r="F1584" s="121"/>
      <c r="G1584" s="70" t="str">
        <f>CHAR(97+COUNTIF($C$1574:C1576,"Show")) &amp; "."</f>
        <v>d.</v>
      </c>
      <c r="H1584" s="117" t="s">
        <v>1216</v>
      </c>
    </row>
    <row r="1585" spans="2:8" ht="45" hidden="1" outlineLevel="2">
      <c r="B1585" s="76" t="s">
        <v>1214</v>
      </c>
      <c r="C1585" s="26" t="str">
        <f>C1582</f>
        <v>Show</v>
      </c>
      <c r="F1585" s="121"/>
      <c r="G1585" s="70" t="str">
        <f>CHAR(97+COUNTIF($C$1574:C1577,"Show")) &amp; "."</f>
        <v>e.</v>
      </c>
      <c r="H1585" s="117" t="s">
        <v>2689</v>
      </c>
    </row>
    <row r="1586" spans="2:8" ht="45" hidden="1" outlineLevel="2">
      <c r="B1586" s="12" t="s">
        <v>1212</v>
      </c>
      <c r="C1586" s="9" t="str">
        <f>IF(OR('1. Criteria &amp; Spec Matrix'!E240='3. Dropdowns'!C314,'1. Criteria &amp; Spec Matrix'!E240='3. Dropdowns'!C315,'1. Criteria &amp; Spec Matrix'!E240='3. Dropdowns'!C316,'1. Criteria &amp; Spec Matrix'!E240=""),"Show",
IF(OR('1. Criteria &amp; Spec Matrix'!E238='3. Dropdowns'!C306,'1. Criteria &amp; Spec Matrix'!E239='3. Dropdowns'!C309),"Show","Hide"))</f>
        <v>Show</v>
      </c>
      <c r="F1586" s="121"/>
      <c r="G1586" s="70" t="str">
        <f>CHAR(97+COUNTIF($C$1574:C1578,"Show")) &amp; "."</f>
        <v>f.</v>
      </c>
      <c r="H1586" s="117" t="s">
        <v>1203</v>
      </c>
    </row>
    <row r="1587" spans="2:8" hidden="1" outlineLevel="2">
      <c r="B1587" s="12" t="s">
        <v>1260</v>
      </c>
      <c r="C1587" s="7" t="str">
        <f>IF(COUNTIF(C1588:C1595,"Show")&gt;0,"Show","Hide")</f>
        <v>Show</v>
      </c>
      <c r="F1587" s="121" t="str">
        <f>(2+COUNTIF(C1570,"Show")+COUNTIF(C1577,"Show")) &amp; "."</f>
        <v>4.</v>
      </c>
      <c r="G1587" s="71" t="s">
        <v>1259</v>
      </c>
      <c r="H1587" s="117"/>
    </row>
    <row r="1588" spans="2:8" ht="30" hidden="1" outlineLevel="2">
      <c r="B1588" s="12" t="s">
        <v>1261</v>
      </c>
      <c r="C1588" s="9" t="str">
        <f>IF(OR('1. Criteria &amp; Spec Matrix'!C242="Show",'1. Criteria &amp; Spec Matrix'!E243='3. Dropdowns'!C318,'1. Criteria &amp; Spec Matrix'!E243='3. Dropdowns'!C321,'1. Criteria &amp; Spec Matrix'!E243='3. Dropdowns'!C322,'1. Criteria &amp; Spec Matrix'!E243='3. Dropdowns'!C324),"Show",
IF(AND('1. Criteria &amp; Spec Matrix'!C243="Show",'1. Criteria &amp; Spec Matrix'!E243=""),"Show","Hide"))</f>
        <v>Show</v>
      </c>
      <c r="F1588" s="116"/>
      <c r="G1588" s="70" t="s">
        <v>133</v>
      </c>
      <c r="H1588" s="117" t="s">
        <v>1273</v>
      </c>
    </row>
    <row r="1589" spans="2:8" ht="60" hidden="1" outlineLevel="2">
      <c r="B1589" s="12" t="s">
        <v>1262</v>
      </c>
      <c r="C1589" s="9" t="str">
        <f>IF(AND('1. Criteria &amp; Spec Matrix'!C242="Show",OR('1. Criteria &amp; Spec Matrix'!E190='3. Dropdowns'!C193,'1. Criteria &amp; Spec Matrix'!E190='3. Dropdowns'!C194,'1. Criteria &amp; Spec Matrix'!E190='3. Dropdowns'!C195,'1. Criteria &amp; Spec Matrix'!E190='3. Dropdowns'!C196)),"Show",
IF(AND('1. Criteria &amp; Spec Matrix'!C243="Show",OR('1. Criteria &amp; Spec Matrix'!E190='3. Dropdowns'!C193,'1. Criteria &amp; Spec Matrix'!E190='3. Dropdowns'!C194,'1. Criteria &amp; Spec Matrix'!E190='3. Dropdowns'!C195,'1. Criteria &amp; Spec Matrix'!E190='3. Dropdowns'!C196),OR('1. Criteria &amp; Spec Matrix'!E243='3. Dropdowns'!C318,'1. Criteria &amp; Spec Matrix'!E243='3. Dropdowns'!C321,'1. Criteria &amp; Spec Matrix'!E243='3. Dropdowns'!C322,'1. Criteria &amp; Spec Matrix'!E243='3. Dropdowns'!C324)),"Show",
IF(OR('1. Criteria &amp; Spec Matrix'!E190="",AND('1. Criteria &amp; Spec Matrix'!C243="Show",'1. Criteria &amp; Spec Matrix'!E243="")),"Show","Hide")))</f>
        <v>Show</v>
      </c>
      <c r="F1589" s="116"/>
      <c r="G1589" s="70"/>
      <c r="H1589" s="117" t="s">
        <v>1274</v>
      </c>
    </row>
    <row r="1590" spans="2:8" ht="45" hidden="1" outlineLevel="2">
      <c r="B1590" s="12" t="s">
        <v>1263</v>
      </c>
      <c r="C1590" s="9" t="str">
        <f>IF(OR('1. Criteria &amp; Spec Matrix'!C242="Show",'1. Criteria &amp; Spec Matrix'!E243='3. Dropdowns'!C319,'1. Criteria &amp; Spec Matrix'!E243='3. Dropdowns'!C321,'1. Criteria &amp; Spec Matrix'!E243='3. Dropdowns'!C323,'1. Criteria &amp; Spec Matrix'!E243='3. Dropdowns'!C324),"Show",
IF(AND('1. Criteria &amp; Spec Matrix'!C243="Show",'1. Criteria &amp; Spec Matrix'!E243=""),"Show","Hide"))</f>
        <v>Show</v>
      </c>
      <c r="F1590" s="116"/>
      <c r="G1590" s="70" t="str">
        <f>IF(C1589="Show",(CHAR(96+COUNTIF($C$1588:C1589,"Show")) &amp; "."),CHAR(97+COUNTIF($C$1588:C1589,"Show")) &amp; ".")</f>
        <v>b.</v>
      </c>
      <c r="H1590" s="117" t="s">
        <v>1276</v>
      </c>
    </row>
    <row r="1591" spans="2:8" ht="30" hidden="1" outlineLevel="2">
      <c r="B1591" s="12" t="s">
        <v>1264</v>
      </c>
      <c r="C1591" s="9" t="str">
        <f>IF(OR('1. Criteria &amp; Spec Matrix'!C242="Show",'1. Criteria &amp; Spec Matrix'!E243='3. Dropdowns'!C320,'1. Criteria &amp; Spec Matrix'!E243='3. Dropdowns'!C322,'1. Criteria &amp; Spec Matrix'!E243='3. Dropdowns'!C323,'1. Criteria &amp; Spec Matrix'!E243='3. Dropdowns'!C324),"Show",
IF(AND('1. Criteria &amp; Spec Matrix'!C243="Show",'1. Criteria &amp; Spec Matrix'!E243=""),"Show","Hide"))</f>
        <v>Show</v>
      </c>
      <c r="F1591" s="116"/>
      <c r="G1591" s="70" t="str">
        <f>IF(C1589="Show",(CHAR(96+COUNTIF($C$1588:C1590,"Show")) &amp; "."),CHAR(97+COUNTIF($C$1588:C1590,"Show")) &amp; ".")</f>
        <v>c.</v>
      </c>
      <c r="H1591" s="117" t="s">
        <v>1275</v>
      </c>
    </row>
    <row r="1592" spans="2:8" ht="45" hidden="1" outlineLevel="2">
      <c r="B1592" s="12" t="s">
        <v>1265</v>
      </c>
      <c r="C1592" s="9" t="str">
        <f>IF(AND('1. Criteria &amp; Spec Matrix'!C242="Show",OR('1. Criteria &amp; Spec Matrix'!D7='3. Dropdowns'!C19,'1. Criteria &amp; Spec Matrix'!D7='3. Dropdowns'!C19),'1. Criteria &amp; Spec Matrix'!E244='3. Dropdowns'!C326,),"Show",
IF(AND('1. Criteria &amp; Spec Matrix'!C244="Show",'1. Criteria &amp; Spec Matrix'!E244=""),"Show","Hide"))</f>
        <v>Show</v>
      </c>
      <c r="F1592" s="116"/>
      <c r="G1592" s="70" t="str">
        <f>IF(C1589="Show",(CHAR(96+COUNTIF($C$1588:C1591,"Show")) &amp; "."),CHAR(97+COUNTIF($C$1588:C1591,"Show")) &amp; ".")</f>
        <v>d.</v>
      </c>
      <c r="H1592" s="117" t="s">
        <v>2690</v>
      </c>
    </row>
    <row r="1593" spans="2:8" ht="30" hidden="1" outlineLevel="2">
      <c r="B1593" s="12" t="s">
        <v>1266</v>
      </c>
      <c r="C1593" s="9" t="str">
        <f>IF('1. Criteria &amp; Spec Matrix'!C242="Show","Show",IF(AND('1. Criteria &amp; Spec Matrix'!C243="Show",NOT('1. Criteria &amp; Spec Matrix'!E243='3. Dropdowns'!C317)),"Show",IF(AND('1. Criteria &amp; Spec Matrix'!C244="Show",OR('1. Criteria &amp; Spec Matrix'!E244='3. Dropdowns'!C326,'1. Criteria &amp; Spec Matrix'!E244="")),"Show","Hide")))</f>
        <v>Show</v>
      </c>
      <c r="F1593" s="116"/>
      <c r="G1593" s="70" t="str">
        <f>IF(C1589="Show",(CHAR(96+COUNTIF($C$1588:C1592,"Show")) &amp; "."),CHAR(97+COUNTIF($C$1588:C1592,"Show")) &amp; ".")</f>
        <v>e.</v>
      </c>
      <c r="H1593" s="117" t="s">
        <v>1277</v>
      </c>
    </row>
    <row r="1594" spans="2:8" ht="45" hidden="1" outlineLevel="2">
      <c r="B1594" s="12" t="s">
        <v>1266</v>
      </c>
      <c r="C1594" s="9" t="str">
        <f>C1593</f>
        <v>Show</v>
      </c>
      <c r="G1594" s="70" t="str">
        <f>IF(C1589="Show",(CHAR(96+COUNTIF($C$1588:C1593,"Show")) &amp; "."),CHAR(97+COUNTIF($C$1588:C1593,"Show")) &amp; ".")</f>
        <v>f.</v>
      </c>
      <c r="H1594" s="117" t="s">
        <v>2691</v>
      </c>
    </row>
    <row r="1595" spans="2:8" ht="30" hidden="1" outlineLevel="2">
      <c r="B1595" s="12" t="s">
        <v>2627</v>
      </c>
      <c r="C1595" s="9" t="str">
        <f>IF('1. Criteria &amp; Spec Matrix'!D5='3. Dropdowns'!C8,"Show", IF('1. Criteria &amp; Spec Matrix'!D5="","Show",IF(AND('1. Criteria &amp; Spec Matrix'!C243="Show",NOT('1. Criteria &amp; Spec Matrix'!E243='3. Dropdowns'!C317)),"Show", IF(AND('1. Criteria &amp; Spec Matrix'!C244="Show",OR('1. Criteria &amp; Spec Matrix'!E244="",'1. Criteria &amp; Spec Matrix'!E244='3. Dropdowns'!C326)),"Show","Hide"))))</f>
        <v>Show</v>
      </c>
      <c r="G1595" s="70" t="str">
        <f>IF(C1589="Show",(CHAR(96+COUNTIF($C$1588:C1594,"Show")) &amp; "."),CHAR(97+COUNTIF($C$1588:C1594,"Show")) &amp; ".")</f>
        <v>g.</v>
      </c>
      <c r="H1595" s="117" t="s">
        <v>1278</v>
      </c>
    </row>
    <row r="1596" spans="2:8" hidden="1" outlineLevel="2">
      <c r="B1596" s="12" t="s">
        <v>1289</v>
      </c>
      <c r="C1596" s="7" t="str">
        <f>IF(COUNTIF(C1597:C1599,"Show")&gt;0,"Show","Hide")</f>
        <v>Show</v>
      </c>
      <c r="F1596" s="121" t="str">
        <f>(2+COUNTIF(C1570,"Show")+COUNTIF(C1577,"Show")+COUNTIF(C1587,"Show")) &amp; "."</f>
        <v>5.</v>
      </c>
      <c r="G1596" s="71" t="s">
        <v>1288</v>
      </c>
      <c r="H1596" s="117"/>
    </row>
    <row r="1597" spans="2:8" hidden="1" outlineLevel="2">
      <c r="B1597" s="12" t="s">
        <v>1289</v>
      </c>
      <c r="C1597" s="9" t="str">
        <f>IF(OR('1. Criteria &amp; Spec Matrix'!E246='3. Dropdowns'!C331,'1. Criteria &amp; Spec Matrix'!E246=""),"Show","Hide")</f>
        <v>Show</v>
      </c>
      <c r="F1597" s="121"/>
      <c r="G1597" s="70" t="s">
        <v>133</v>
      </c>
      <c r="H1597" s="117" t="s">
        <v>2665</v>
      </c>
    </row>
    <row r="1598" spans="2:8" ht="45" hidden="1" outlineLevel="2">
      <c r="B1598" s="12" t="s">
        <v>1291</v>
      </c>
      <c r="C1598" s="9" t="str">
        <f>IF(OR('1. Criteria &amp; Spec Matrix'!E246='3. Dropdowns'!C330,'1. Criteria &amp; Spec Matrix'!E246=""),"Show","Hide")</f>
        <v>Show</v>
      </c>
      <c r="G1598" s="70" t="str">
        <f>CHAR(97+COUNTIF($C$1597:C1597,"Show")) &amp; "."</f>
        <v>b.</v>
      </c>
      <c r="H1598" s="75" t="s">
        <v>1292</v>
      </c>
    </row>
    <row r="1599" spans="2:8" ht="90" hidden="1" outlineLevel="2">
      <c r="B1599" s="12" t="s">
        <v>1291</v>
      </c>
      <c r="C1599" s="9" t="str">
        <f>C1598</f>
        <v>Show</v>
      </c>
      <c r="G1599" s="70" t="str">
        <f>CHAR(97+COUNTIF($C$1597:C1598,"Show")) &amp; "."</f>
        <v>c.</v>
      </c>
      <c r="H1599" s="28" t="s">
        <v>3106</v>
      </c>
    </row>
    <row r="1600" spans="2:8" hidden="1" outlineLevel="2">
      <c r="B1600" s="12" t="s">
        <v>1318</v>
      </c>
      <c r="C1600" s="7" t="str">
        <f>IF(COUNTIF(C1601:C1605,"Show")&gt;0,"Show","Hide")</f>
        <v>Show</v>
      </c>
      <c r="F1600" s="121" t="str">
        <f>(2+COUNTIF(C1570,"Show")+COUNTIF(C1577,"Show")+COUNTIF(C1587,"Show")+COUNTIF(C1596,"Show")) &amp; "."</f>
        <v>6.</v>
      </c>
      <c r="G1600" s="71" t="s">
        <v>1299</v>
      </c>
      <c r="H1600" s="117"/>
    </row>
    <row r="1601" spans="2:8" ht="45" hidden="1" outlineLevel="2">
      <c r="B1601" s="12" t="s">
        <v>1303</v>
      </c>
      <c r="C1601" s="9" t="str">
        <f>IF(OR('1. Criteria &amp; Spec Matrix'!E247='3. Dropdowns'!C333,AND('1. Criteria &amp; Spec Matrix'!C247="Show",'1. Criteria &amp; Spec Matrix'!E247="")),"Show",
IF(OR('1. Criteria &amp; Spec Matrix'!E248='3. Dropdowns'!C338,AND('1. Criteria &amp; Spec Matrix'!C248="Show",'1. Criteria &amp; Spec Matrix'!E248="")),"Show","Hide"))</f>
        <v>Show</v>
      </c>
      <c r="F1601" s="121"/>
      <c r="G1601" s="70" t="s">
        <v>133</v>
      </c>
      <c r="H1601" s="75" t="s">
        <v>1319</v>
      </c>
    </row>
    <row r="1602" spans="2:8" ht="30" hidden="1" outlineLevel="2">
      <c r="B1602" s="12" t="s">
        <v>1305</v>
      </c>
      <c r="C1602" s="9" t="str">
        <f>IF(OR('1. Criteria &amp; Spec Matrix'!E247='3. Dropdowns'!C334,AND('1. Criteria &amp; Spec Matrix'!C247="Show",'1. Criteria &amp; Spec Matrix'!E247="")),"Show",
IF(OR('1. Criteria &amp; Spec Matrix'!E248='3. Dropdowns'!C339,AND('1. Criteria &amp; Spec Matrix'!C248="Show",'1. Criteria &amp; Spec Matrix'!E248="")),"Show","Hide"))</f>
        <v>Show</v>
      </c>
      <c r="F1602" s="121"/>
      <c r="G1602" s="70" t="str">
        <f>CHAR(97+COUNTIF($C$1601:C1601,"Show")) &amp; "."</f>
        <v>b.</v>
      </c>
      <c r="H1602" s="75" t="s">
        <v>1320</v>
      </c>
    </row>
    <row r="1603" spans="2:8" ht="30" hidden="1" outlineLevel="2">
      <c r="B1603" s="12" t="s">
        <v>1305</v>
      </c>
      <c r="C1603" s="9" t="str">
        <f>C1602</f>
        <v>Show</v>
      </c>
      <c r="F1603" s="121"/>
      <c r="G1603" s="70" t="str">
        <f>CHAR(97+COUNTIF($C$1601:C1602,"Show")) &amp; "."</f>
        <v>c.</v>
      </c>
      <c r="H1603" s="117" t="s">
        <v>2692</v>
      </c>
    </row>
    <row r="1604" spans="2:8" ht="30" hidden="1" outlineLevel="2">
      <c r="B1604" s="12" t="s">
        <v>1305</v>
      </c>
      <c r="C1604" s="9" t="str">
        <f>C1602</f>
        <v>Show</v>
      </c>
      <c r="F1604" s="121"/>
      <c r="G1604" s="70" t="str">
        <f>CHAR(97+COUNTIF($C$1601:C1603,"Show")) &amp; "."</f>
        <v>d.</v>
      </c>
      <c r="H1604" s="117" t="s">
        <v>1321</v>
      </c>
    </row>
    <row r="1605" spans="2:8" hidden="1" outlineLevel="2">
      <c r="B1605" s="12" t="s">
        <v>1305</v>
      </c>
      <c r="C1605" s="9" t="str">
        <f>C1602</f>
        <v>Show</v>
      </c>
      <c r="F1605" s="121"/>
      <c r="G1605" s="70" t="str">
        <f>CHAR(97+COUNTIF($C$1601:C1604,"Show")) &amp; "."</f>
        <v>e.</v>
      </c>
      <c r="H1605" s="117" t="s">
        <v>1322</v>
      </c>
    </row>
    <row r="1606" spans="2:8" hidden="1" outlineLevel="2">
      <c r="B1606" s="76" t="s">
        <v>1326</v>
      </c>
      <c r="C1606" s="7" t="str">
        <f>IF(COUNTIF(C1607:C1613,"Show")&gt;0,"Show","Hide")</f>
        <v>Show</v>
      </c>
      <c r="F1606" s="121" t="str">
        <f>(2+COUNTIF(C1570,"Show")+COUNTIF(C1577,"Show")+COUNTIF(C1587,"Show")+COUNTIF(C1596,"Show")+COUNTIF(C1600,"Show")) &amp; "."</f>
        <v>7.</v>
      </c>
      <c r="G1606" s="71" t="s">
        <v>1325</v>
      </c>
      <c r="H1606" s="117"/>
    </row>
    <row r="1607" spans="2:8" ht="60" hidden="1" outlineLevel="2">
      <c r="B1607" s="76" t="s">
        <v>1326</v>
      </c>
      <c r="C1607" s="9" t="str">
        <f>'1. Criteria &amp; Spec Matrix'!C249</f>
        <v>Show</v>
      </c>
      <c r="F1607" s="116"/>
      <c r="G1607" s="70" t="s">
        <v>133</v>
      </c>
      <c r="H1607" s="75" t="s">
        <v>1330</v>
      </c>
    </row>
    <row r="1608" spans="2:8" ht="30" hidden="1" outlineLevel="2">
      <c r="B1608" s="76" t="s">
        <v>1326</v>
      </c>
      <c r="C1608" s="9" t="str">
        <f>C1607</f>
        <v>Show</v>
      </c>
      <c r="F1608" s="78"/>
      <c r="G1608" s="70" t="str">
        <f>CHAR(97+COUNTIF($C$1607:C1607,"Show")) &amp; "."</f>
        <v>b.</v>
      </c>
      <c r="H1608" s="111" t="s">
        <v>1331</v>
      </c>
    </row>
    <row r="1609" spans="2:8" ht="30" hidden="1" outlineLevel="2">
      <c r="B1609" s="76" t="s">
        <v>1326</v>
      </c>
      <c r="C1609" s="9" t="str">
        <f>C1607</f>
        <v>Show</v>
      </c>
      <c r="G1609" s="70" t="str">
        <f>CHAR(97+COUNTIF($C$1607:C1608,"Show")) &amp; "."</f>
        <v>c.</v>
      </c>
      <c r="H1609" s="111" t="s">
        <v>1332</v>
      </c>
    </row>
    <row r="1610" spans="2:8" ht="30" hidden="1" outlineLevel="2">
      <c r="B1610" s="76" t="s">
        <v>1326</v>
      </c>
      <c r="C1610" s="9" t="str">
        <f>C1607</f>
        <v>Show</v>
      </c>
      <c r="G1610" s="70" t="str">
        <f>CHAR(97+COUNTIF($C$1607:C1609,"Show")) &amp; "."</f>
        <v>d.</v>
      </c>
      <c r="H1610" s="111" t="s">
        <v>1333</v>
      </c>
    </row>
    <row r="1611" spans="2:8" hidden="1" outlineLevel="2">
      <c r="B1611" s="76" t="s">
        <v>1326</v>
      </c>
      <c r="C1611" s="9" t="str">
        <f>C1607</f>
        <v>Show</v>
      </c>
      <c r="G1611" s="70" t="str">
        <f>CHAR(97+COUNTIF($C$1607:C1610,"Show")) &amp; "."</f>
        <v>e.</v>
      </c>
      <c r="H1611" s="111" t="s">
        <v>1329</v>
      </c>
    </row>
    <row r="1612" spans="2:8" ht="122.1" hidden="1" customHeight="1" outlineLevel="2">
      <c r="B1612" s="12" t="s">
        <v>1334</v>
      </c>
      <c r="C1612" s="9" t="str">
        <f>IF(OR('1. Criteria &amp; Spec Matrix'!E249='3. Dropdowns'!C341,AND('1. Criteria &amp; Spec Matrix'!C249="Show",'1. Criteria &amp; Spec Matrix'!E249="")),"Show","Hide")</f>
        <v>Show</v>
      </c>
      <c r="G1612" s="70" t="str">
        <f>CHAR(97+COUNTIF($C$1607:C1611,"Show")) &amp; "."</f>
        <v>f.</v>
      </c>
      <c r="H1612" s="75" t="s">
        <v>1335</v>
      </c>
    </row>
    <row r="1613" spans="2:8" ht="77.099999999999994" hidden="1" customHeight="1" outlineLevel="2">
      <c r="B1613" s="12" t="s">
        <v>1334</v>
      </c>
      <c r="C1613" s="9" t="str">
        <f>C1612</f>
        <v>Show</v>
      </c>
      <c r="G1613" s="70" t="str">
        <f>CHAR(97+COUNTIF($C$1607:C1612,"Show")) &amp; "."</f>
        <v>g.</v>
      </c>
      <c r="H1613" s="75" t="s">
        <v>2693</v>
      </c>
    </row>
    <row r="1614" spans="2:8" hidden="1" outlineLevel="2">
      <c r="B1614" s="12" t="s">
        <v>753</v>
      </c>
      <c r="C1614" s="7" t="str">
        <f>IF(COUNTIF(C1615:C1621,"Show")&gt;0,"Show","Hide")</f>
        <v>Show</v>
      </c>
      <c r="F1614" s="121" t="str">
        <f>(2+COUNTIF(C1570,"Show")+COUNTIF(C1577,"Show")+COUNTIF(C1587,"Show")+COUNTIF(C1596,"Show")+COUNTIF(C1600,"Show")+COUNTIF(C1606,"Show")) &amp; "."</f>
        <v>8.</v>
      </c>
      <c r="G1614" s="71" t="s">
        <v>1337</v>
      </c>
      <c r="H1614" s="117"/>
    </row>
    <row r="1615" spans="2:8" ht="45" hidden="1" outlineLevel="2">
      <c r="B1615" s="12" t="s">
        <v>1339</v>
      </c>
      <c r="C1615" s="9" t="str">
        <f>IF(OR('1. Criteria &amp; Spec Matrix'!D5="",'1. Criteria &amp; Spec Matrix'!D5='3. Dropdowns'!C8),"Show","Hide")</f>
        <v>Show</v>
      </c>
      <c r="F1615" s="116"/>
      <c r="G1615" s="70" t="s">
        <v>133</v>
      </c>
      <c r="H1615" s="117" t="s">
        <v>1342</v>
      </c>
    </row>
    <row r="1616" spans="2:8" ht="45" hidden="1" outlineLevel="2">
      <c r="B1616" s="12" t="s">
        <v>1340</v>
      </c>
      <c r="C1616" s="9" t="str">
        <f>IF(OR('1. Criteria &amp; Spec Matrix'!D5="",'1. Criteria &amp; Spec Matrix'!D5='3. Dropdowns'!C9),"Show","Hide")</f>
        <v>Show</v>
      </c>
      <c r="G1616" s="70" t="str">
        <f>CHAR(97+COUNTIF($C$1615:C1615,"Show")) &amp; "."</f>
        <v>b.</v>
      </c>
      <c r="H1616" s="117" t="s">
        <v>1343</v>
      </c>
    </row>
    <row r="1617" spans="2:8" ht="135.94999999999999" hidden="1" customHeight="1" outlineLevel="2">
      <c r="B1617" s="12" t="s">
        <v>753</v>
      </c>
      <c r="C1617" s="9" t="str">
        <f>'1. Criteria &amp; Spec Matrix'!C250</f>
        <v>Show</v>
      </c>
      <c r="H1617" s="111" t="s">
        <v>1341</v>
      </c>
    </row>
    <row r="1618" spans="2:8" ht="90" hidden="1" outlineLevel="2">
      <c r="B1618" s="12" t="s">
        <v>753</v>
      </c>
      <c r="C1618" s="9" t="str">
        <f>C1617</f>
        <v>Show</v>
      </c>
      <c r="G1618" s="70" t="str">
        <f>IF(C1617="Show",(CHAR(96+COUNTIF($C$1615:C1617,"Show")) &amp; "."),CHAR(97+COUNTIF($C$1615:C1617,"Show")) &amp; ".")</f>
        <v>c.</v>
      </c>
      <c r="H1618" s="75" t="s">
        <v>1344</v>
      </c>
    </row>
    <row r="1619" spans="2:8" ht="90" hidden="1" customHeight="1" outlineLevel="2">
      <c r="B1619" s="12" t="s">
        <v>753</v>
      </c>
      <c r="C1619" s="9" t="str">
        <f>C1617</f>
        <v>Show</v>
      </c>
      <c r="G1619" s="70" t="str">
        <f>IF(C1617="Show",(CHAR(96+COUNTIF($C$1615:C1618,"Show")) &amp; "."),CHAR(97+COUNTIF($C$1615:C1618,"Show")) &amp; ".")</f>
        <v>d.</v>
      </c>
      <c r="H1619" s="75" t="s">
        <v>1345</v>
      </c>
    </row>
    <row r="1620" spans="2:8" hidden="1" outlineLevel="2">
      <c r="B1620" s="12" t="s">
        <v>753</v>
      </c>
      <c r="C1620" s="9" t="str">
        <f>C1617</f>
        <v>Show</v>
      </c>
      <c r="G1620" s="70" t="str">
        <f>IF(C1617="Show",(CHAR(96+COUNTIF($C$1615:C1619,"Show")) &amp; "."),CHAR(97+COUNTIF($C$1615:C1619,"Show")) &amp; ".")</f>
        <v>e.</v>
      </c>
      <c r="H1620" s="111" t="s">
        <v>1346</v>
      </c>
    </row>
    <row r="1621" spans="2:8" ht="60" hidden="1" outlineLevel="2">
      <c r="B1621" s="12" t="s">
        <v>753</v>
      </c>
      <c r="C1621" s="9" t="str">
        <f>C1617</f>
        <v>Show</v>
      </c>
      <c r="G1621" s="70" t="str">
        <f>IF(C1617="Show",(CHAR(96+COUNTIF($C$1615:C1620,"Show")) &amp; "."),CHAR(97+COUNTIF($C$1615:C1620,"Show")) &amp; ".")</f>
        <v>f.</v>
      </c>
      <c r="H1621" s="75" t="s">
        <v>1347</v>
      </c>
    </row>
    <row r="1622" spans="2:8" hidden="1" outlineLevel="2">
      <c r="B1622" s="12" t="s">
        <v>2576</v>
      </c>
      <c r="C1622" s="7" t="str">
        <f>IF(COUNTIF(C1623:C1624,"Show")&gt;0,"Show","Hide")</f>
        <v>Show</v>
      </c>
      <c r="F1622" s="121" t="str">
        <f>(2+COUNTIF(C1570,"Show")+COUNTIF(C1577,"Show")+COUNTIF(C1587,"Show")+COUNTIF(C1596,"Show")+COUNTIF(C1600,"Show")+COUNTIF(C1606,"Show")+COUNTIF(C1614,"Show")) &amp; "."</f>
        <v>9.</v>
      </c>
      <c r="G1622" s="71" t="s">
        <v>1349</v>
      </c>
      <c r="H1622" s="117"/>
    </row>
    <row r="1623" spans="2:8" ht="15.95" hidden="1" customHeight="1" outlineLevel="2">
      <c r="B1623" s="12" t="s">
        <v>2561</v>
      </c>
      <c r="C1623" s="9" t="str">
        <f>IF('1. Criteria &amp; Spec Matrix'!C251="Show","Show",IF(OR('1. Criteria &amp; Spec Matrix'!E252='3. Dropdowns'!C343,'1. Criteria &amp; Spec Matrix'!E252='3. Dropdowns'!C344),"Show",IF(AND('1. Criteria &amp; Spec Matrix'!C252="Show",'1. Criteria &amp; Spec Matrix'!E252=""),"Show","Hide")))</f>
        <v>Show</v>
      </c>
      <c r="F1623" s="116"/>
      <c r="G1623" s="70" t="s">
        <v>133</v>
      </c>
      <c r="H1623" s="117" t="s">
        <v>1353</v>
      </c>
    </row>
    <row r="1624" spans="2:8" ht="45" hidden="1" outlineLevel="2">
      <c r="B1624" s="12" t="s">
        <v>1359</v>
      </c>
      <c r="C1624" s="9" t="str">
        <f>IF('1. Criteria &amp; Spec Matrix'!E252='3. Dropdowns'!C346,"Hide","Show")</f>
        <v>Show</v>
      </c>
      <c r="F1624" s="78"/>
      <c r="G1624" s="70" t="str">
        <f>CHAR(97+COUNTIF($C$1623:C1623,"Show")) &amp; "."</f>
        <v>b.</v>
      </c>
      <c r="H1624" s="28" t="s">
        <v>2575</v>
      </c>
    </row>
    <row r="1625" spans="2:8" hidden="1" outlineLevel="2">
      <c r="B1625" s="76"/>
      <c r="C1625" s="7" t="s">
        <v>116</v>
      </c>
      <c r="F1625" s="121" t="str">
        <f>(2+COUNTIF(C1570,"Show")+COUNTIF(C1577,"Show")+COUNTIF(C1587,"Show")+COUNTIF(C1596,"Show")+COUNTIF(C1600,"Show")+COUNTIF(C1606,"Show")+COUNTIF(C1614,"Show")+COUNTIF(C1622,"Show")) &amp; "."</f>
        <v>10.</v>
      </c>
      <c r="G1625" s="71" t="s">
        <v>1360</v>
      </c>
      <c r="H1625" s="117"/>
    </row>
    <row r="1626" spans="2:8" ht="33" hidden="1" customHeight="1" outlineLevel="2">
      <c r="B1626" s="76"/>
      <c r="C1626" s="7" t="s">
        <v>116</v>
      </c>
      <c r="F1626" s="116"/>
      <c r="G1626" s="70" t="s">
        <v>133</v>
      </c>
      <c r="H1626" s="117" t="s">
        <v>1364</v>
      </c>
    </row>
    <row r="1627" spans="2:8" ht="30" hidden="1" outlineLevel="2">
      <c r="B1627" s="76"/>
      <c r="C1627" s="7" t="s">
        <v>116</v>
      </c>
      <c r="F1627" s="78"/>
      <c r="G1627" s="70" t="s">
        <v>134</v>
      </c>
      <c r="H1627" s="28" t="s">
        <v>1366</v>
      </c>
    </row>
    <row r="1628" spans="2:8" ht="30" hidden="1" outlineLevel="2">
      <c r="B1628" s="76"/>
      <c r="C1628" s="7" t="s">
        <v>116</v>
      </c>
      <c r="G1628" s="70" t="s">
        <v>135</v>
      </c>
      <c r="H1628" s="111" t="s">
        <v>1365</v>
      </c>
    </row>
    <row r="1629" spans="2:8" hidden="1" outlineLevel="2">
      <c r="B1629" s="12" t="s">
        <v>2959</v>
      </c>
      <c r="C1629" s="7" t="str">
        <f>IF(COUNTIF(C1630:C1632,"Show")&gt;0,"Show","Hide")</f>
        <v>Show</v>
      </c>
      <c r="F1629" s="121" t="str">
        <f>(3+COUNTIF(C1570,"Show")+COUNTIF(C1577,"Show")+COUNTIF(C1587,"Show")+COUNTIF(C1596,"Show")+COUNTIF(C1600,"Show")+COUNTIF(C1606,"Show")+COUNTIF(C1614,"Show")+COUNTIF(C1622,"Show")) &amp; "."</f>
        <v>11.</v>
      </c>
      <c r="G1629" s="71" t="s">
        <v>2952</v>
      </c>
      <c r="H1629" s="117"/>
    </row>
    <row r="1630" spans="2:8" ht="45" hidden="1" outlineLevel="2">
      <c r="B1630" s="12" t="s">
        <v>1380</v>
      </c>
      <c r="C1630" s="9" t="str">
        <f>IF(OR('1. Criteria &amp; Spec Matrix'!E255='3. Dropdowns'!C352,AND('1. Criteria &amp; Spec Matrix'!C255="Show",'1. Criteria &amp; Spec Matrix'!E255="")),"Show","Hide")</f>
        <v>Show</v>
      </c>
      <c r="F1630" s="116"/>
      <c r="G1630" s="70" t="s">
        <v>133</v>
      </c>
      <c r="H1630" s="75" t="s">
        <v>1398</v>
      </c>
    </row>
    <row r="1631" spans="2:8" ht="30" hidden="1" outlineLevel="2">
      <c r="B1631" s="12" t="s">
        <v>1392</v>
      </c>
      <c r="C1631" s="9" t="str">
        <f>IF('1. Criteria &amp; Spec Matrix'!E255='3. Dropdowns'!C355,"Show",IF(AND('1. Criteria &amp; Spec Matrix'!C255="Show",'1. Criteria &amp; Spec Matrix'!E255=""),"Show","Hide"))</f>
        <v>Show</v>
      </c>
      <c r="F1631" s="116"/>
      <c r="G1631" s="70" t="str">
        <f>CHAR(97+COUNTIF($C$1630:C1630,"Show")) &amp; "."</f>
        <v>b.</v>
      </c>
      <c r="H1631" s="117" t="s">
        <v>1396</v>
      </c>
    </row>
    <row r="1632" spans="2:8" ht="30" hidden="1" outlineLevel="2">
      <c r="B1632" s="12" t="s">
        <v>1393</v>
      </c>
      <c r="C1632" s="9" t="str">
        <f>IF('1. Criteria &amp; Spec Matrix'!E255='3. Dropdowns'!C356,"Show",IF(AND('1. Criteria &amp; Spec Matrix'!C255="Show",'1. Criteria &amp; Spec Matrix'!E255=""),"Show","Hide"))</f>
        <v>Show</v>
      </c>
      <c r="F1632" s="78"/>
      <c r="G1632" s="70" t="str">
        <f>CHAR(97+COUNTIF($C$1630:C1631,"Show")) &amp; "."</f>
        <v>c.</v>
      </c>
      <c r="H1632" s="117" t="s">
        <v>1397</v>
      </c>
    </row>
    <row r="1633" spans="2:8" hidden="1" outlineLevel="2">
      <c r="B1633" s="12" t="s">
        <v>1399</v>
      </c>
      <c r="C1633" s="7" t="str">
        <f>IF(COUNTIF(C1634:C1644,"Show")&gt;0,"Show","Hide")</f>
        <v>Show</v>
      </c>
      <c r="F1633" s="121" t="str">
        <f>(3+COUNTIF(C1570,"Show")+COUNTIF(C1577,"Show")+COUNTIF(C1587,"Show")+COUNTIF(C1596,"Show")+COUNTIF(C1600,"Show")+COUNTIF(C1606,"Show")+COUNTIF(C1614,"Show")+COUNTIF(C1622,"Show")+COUNTIF(C1629,"Show")) &amp; "."</f>
        <v>12.</v>
      </c>
      <c r="G1633" s="71" t="s">
        <v>1402</v>
      </c>
      <c r="H1633" s="117"/>
    </row>
    <row r="1634" spans="2:8" ht="90" hidden="1" outlineLevel="2">
      <c r="B1634" s="12" t="s">
        <v>1404</v>
      </c>
      <c r="C1634" s="9" t="str">
        <f>IF(OR('1. Criteria &amp; Spec Matrix'!E257='3. Dropdowns'!C357,AND('1. Criteria &amp; Spec Matrix'!C257="Show",'1. Criteria &amp; Spec Matrix'!E257="")),"Show","Hide")</f>
        <v>Show</v>
      </c>
      <c r="F1634" s="116"/>
      <c r="G1634" s="70" t="s">
        <v>133</v>
      </c>
      <c r="H1634" s="75" t="s">
        <v>1422</v>
      </c>
    </row>
    <row r="1635" spans="2:8" hidden="1" outlineLevel="2">
      <c r="B1635" s="12" t="s">
        <v>1405</v>
      </c>
      <c r="C1635" s="9" t="str">
        <f>IF(OR('1. Criteria &amp; Spec Matrix'!E258='3. Dropdowns'!C357,AND('1. Criteria &amp; Spec Matrix'!C258="Show",'1. Criteria &amp; Spec Matrix'!E258="")),"Show","Hide")</f>
        <v>Show</v>
      </c>
      <c r="F1635" s="116"/>
      <c r="G1635" s="70" t="str">
        <f>CHAR(97+COUNTIF($C$1634:C1634,"Show")) &amp; "."</f>
        <v>b.</v>
      </c>
      <c r="H1635" s="75" t="s">
        <v>1423</v>
      </c>
    </row>
    <row r="1636" spans="2:8" ht="30" hidden="1" outlineLevel="2">
      <c r="B1636" s="12" t="s">
        <v>2707</v>
      </c>
      <c r="C1636" s="9" t="str">
        <f>IF(OR('1. Criteria &amp; Spec Matrix'!E259='3. Dropdowns'!C357,AND('1. Criteria &amp; Spec Matrix'!C259="Show",'1. Criteria &amp; Spec Matrix'!E259="")),"Show","Hide")</f>
        <v>Show</v>
      </c>
      <c r="F1636" s="116"/>
      <c r="G1636" s="70" t="str">
        <f>CHAR(97+COUNTIF($C$1634:C1635,"Show")) &amp; "."</f>
        <v>c.</v>
      </c>
      <c r="H1636" s="75" t="s">
        <v>2706</v>
      </c>
    </row>
    <row r="1637" spans="2:8" ht="45" hidden="1" outlineLevel="2">
      <c r="B1637" s="12" t="s">
        <v>1407</v>
      </c>
      <c r="C1637" s="9" t="str">
        <f>IF('1. Criteria &amp; Spec Matrix'!E260='3. Dropdowns'!C357,"Show",IF(AND('1. Criteria &amp; Spec Matrix'!C260="Show",'1. Criteria &amp; Spec Matrix'!E260=""),"Show","Hide"))</f>
        <v>Show</v>
      </c>
      <c r="F1637" s="116"/>
      <c r="G1637" s="70" t="str">
        <f>CHAR(97+COUNTIF($C$1634:C1636,"Show")) &amp; "."</f>
        <v>d.</v>
      </c>
      <c r="H1637" s="75" t="s">
        <v>1424</v>
      </c>
    </row>
    <row r="1638" spans="2:8" ht="30" hidden="1" outlineLevel="2">
      <c r="B1638" s="12" t="s">
        <v>1025</v>
      </c>
      <c r="C1638" s="9" t="str">
        <f>IF(OR('1. Criteria &amp; Spec Matrix'!E261='3. Dropdowns'!C357,AND('1. Criteria &amp; Spec Matrix'!C261="Show",'1. Criteria &amp; Spec Matrix'!E261="")),"Show","Hide")</f>
        <v>Show</v>
      </c>
      <c r="F1638" s="116"/>
      <c r="G1638" s="70" t="str">
        <f>CHAR(97+COUNTIF($C$1634:C1637,"Show")) &amp; "."</f>
        <v>e.</v>
      </c>
      <c r="H1638" s="75" t="s">
        <v>2577</v>
      </c>
    </row>
    <row r="1639" spans="2:8" ht="60" hidden="1" outlineLevel="2">
      <c r="B1639" s="12" t="s">
        <v>1025</v>
      </c>
      <c r="C1639" s="9" t="str">
        <f>C1638</f>
        <v>Show</v>
      </c>
      <c r="F1639" s="116"/>
      <c r="G1639" s="70" t="str">
        <f>CHAR(97+COUNTIF($C$1634:C1638,"Show")) &amp; "."</f>
        <v>f.</v>
      </c>
      <c r="H1639" s="75" t="s">
        <v>1425</v>
      </c>
    </row>
    <row r="1640" spans="2:8" ht="45" hidden="1" outlineLevel="2">
      <c r="B1640" s="12" t="s">
        <v>1408</v>
      </c>
      <c r="C1640" s="9" t="str">
        <f>IF(OR('1. Criteria &amp; Spec Matrix'!E262='3. Dropdowns'!C357,AND('1. Criteria &amp; Spec Matrix'!C262="Show",'1. Criteria &amp; Spec Matrix'!E262="")),"Show","Hide")</f>
        <v>Show</v>
      </c>
      <c r="F1640" s="116"/>
      <c r="G1640" s="70" t="str">
        <f>CHAR(97+COUNTIF($C$1634:C1639,"Show")) &amp; "."</f>
        <v>g.</v>
      </c>
      <c r="H1640" s="75" t="s">
        <v>1426</v>
      </c>
    </row>
    <row r="1641" spans="2:8" ht="30" hidden="1" outlineLevel="2">
      <c r="B1641" s="12" t="s">
        <v>1409</v>
      </c>
      <c r="C1641" s="9" t="str">
        <f>IF(OR('1. Criteria &amp; Spec Matrix'!E263='3. Dropdowns'!C357,AND('1. Criteria &amp; Spec Matrix'!C263="Show",'1. Criteria &amp; Spec Matrix'!E263="")),"Show","Hide")</f>
        <v>Show</v>
      </c>
      <c r="F1641" s="116"/>
      <c r="G1641" s="70" t="str">
        <f>CHAR(97+COUNTIF($C$1634:C1640,"Show")) &amp; "."</f>
        <v>h.</v>
      </c>
      <c r="H1641" s="75" t="s">
        <v>1427</v>
      </c>
    </row>
    <row r="1642" spans="2:8" ht="30" hidden="1" outlineLevel="2">
      <c r="B1642" s="12" t="s">
        <v>1410</v>
      </c>
      <c r="C1642" s="9" t="str">
        <f>IF(OR('1. Criteria &amp; Spec Matrix'!E264='3. Dropdowns'!C357,AND('1. Criteria &amp; Spec Matrix'!C264="Show",'1. Criteria &amp; Spec Matrix'!E264="")),"Show","Hide")</f>
        <v>Show</v>
      </c>
      <c r="F1642" s="116"/>
      <c r="G1642" s="70" t="str">
        <f>CHAR(97+COUNTIF($C$1634:C1641,"Show")) &amp; "."</f>
        <v>i.</v>
      </c>
      <c r="H1642" s="75" t="s">
        <v>1428</v>
      </c>
    </row>
    <row r="1643" spans="2:8" hidden="1" outlineLevel="2">
      <c r="B1643" s="12" t="s">
        <v>1414</v>
      </c>
      <c r="C1643" s="9" t="str">
        <f>IF(OR('1. Criteria &amp; Spec Matrix'!E265='3. Dropdowns'!C359,AND('1. Criteria &amp; Spec Matrix'!C265="Show",'1. Criteria &amp; Spec Matrix'!E265="")),"Show","Hide")</f>
        <v>Show</v>
      </c>
      <c r="F1643" s="116"/>
      <c r="G1643" s="70" t="str">
        <f>CHAR(97+COUNTIF($C$1634:C1642,"Show")) &amp; "."</f>
        <v>j.</v>
      </c>
      <c r="H1643" s="75" t="s">
        <v>1429</v>
      </c>
    </row>
    <row r="1644" spans="2:8" hidden="1" outlineLevel="2">
      <c r="B1644" s="12" t="s">
        <v>1416</v>
      </c>
      <c r="C1644" s="9" t="str">
        <f>IF(OR('1. Criteria &amp; Spec Matrix'!E265='3. Dropdowns'!C360,AND('1. Criteria &amp; Spec Matrix'!C265="Show",'1. Criteria &amp; Spec Matrix'!E265="")),"Show","Hide")</f>
        <v>Show</v>
      </c>
      <c r="F1644" s="116"/>
      <c r="G1644" s="70" t="str">
        <f>CHAR(97+COUNTIF($C$1634:C1643,"Show")) &amp; "."</f>
        <v>k.</v>
      </c>
      <c r="H1644" s="75" t="s">
        <v>1430</v>
      </c>
    </row>
    <row r="1645" spans="2:8" hidden="1" outlineLevel="2">
      <c r="B1645" s="12" t="s">
        <v>2573</v>
      </c>
      <c r="C1645" s="7" t="str">
        <f>IF(COUNTIF(C1646:C1657,"Show")&gt;0,"Show","Hide")</f>
        <v>Show</v>
      </c>
      <c r="F1645" s="121" t="str">
        <f>(3+COUNTIF(C1570,"Show")+COUNTIF(C1577,"Show")+COUNTIF(C1587,"Show")+COUNTIF(C1596,"Show")+COUNTIF(C1600,"Show")+COUNTIF(C1606,"Show")+COUNTIF(C1614,"Show")+COUNTIF(C1622,"Show")+COUNTIF(C1629,"Show")+COUNTIF(C1633,"Show")) &amp; "."</f>
        <v>13.</v>
      </c>
      <c r="G1645" s="71" t="s">
        <v>1446</v>
      </c>
    </row>
    <row r="1646" spans="2:8" hidden="1" outlineLevel="2">
      <c r="B1646" s="12" t="s">
        <v>1431</v>
      </c>
      <c r="C1646" s="9" t="str">
        <f>IF('1. Criteria &amp; Spec Matrix'!E267='3. Dropdowns'!C369,"Hide","Show")</f>
        <v>Show</v>
      </c>
      <c r="G1646" s="122" t="s">
        <v>133</v>
      </c>
      <c r="H1646" s="75" t="s">
        <v>1464</v>
      </c>
    </row>
    <row r="1647" spans="2:8" ht="30" hidden="1" outlineLevel="2">
      <c r="B1647" s="12" t="s">
        <v>1433</v>
      </c>
      <c r="C1647" s="9" t="str">
        <f>IF('1. Criteria &amp; Spec Matrix'!E268='3. Dropdowns'!C369,"Hide","Show")</f>
        <v>Show</v>
      </c>
      <c r="G1647" s="70" t="str">
        <f>CHAR(97+COUNTIF($C$1646:C1646,"Show")) &amp; "."</f>
        <v>b.</v>
      </c>
      <c r="H1647" s="75" t="s">
        <v>2694</v>
      </c>
    </row>
    <row r="1648" spans="2:8" ht="30" hidden="1" outlineLevel="2">
      <c r="B1648" s="12" t="s">
        <v>1432</v>
      </c>
      <c r="C1648" s="9" t="str">
        <f>IF('1. Criteria &amp; Spec Matrix'!E269='3. Dropdowns'!C369,"Hide","Show")</f>
        <v>Show</v>
      </c>
      <c r="G1648" s="70" t="str">
        <f>CHAR(97+COUNTIF($C$1646:C1647,"Show")) &amp; "."</f>
        <v>c.</v>
      </c>
      <c r="H1648" s="75" t="s">
        <v>1465</v>
      </c>
    </row>
    <row r="1649" spans="2:8" hidden="1" outlineLevel="2">
      <c r="B1649" s="12" t="s">
        <v>1434</v>
      </c>
      <c r="C1649" s="9" t="str">
        <f>IF('1. Criteria &amp; Spec Matrix'!E270='3. Dropdowns'!C369,"Hide","Show")</f>
        <v>Show</v>
      </c>
      <c r="G1649" s="70" t="str">
        <f>CHAR(97+COUNTIF($C$1646:C1648,"Show")) &amp; "."</f>
        <v>d.</v>
      </c>
      <c r="H1649" s="75" t="s">
        <v>2695</v>
      </c>
    </row>
    <row r="1650" spans="2:8" ht="30" hidden="1" outlineLevel="2">
      <c r="B1650" s="12" t="s">
        <v>1435</v>
      </c>
      <c r="C1650" s="9" t="str">
        <f>IF('1. Criteria &amp; Spec Matrix'!E272='3. Dropdowns'!C369,"Hide","Show")</f>
        <v>Show</v>
      </c>
      <c r="G1650" s="70" t="str">
        <f>CHAR(97+COUNTIF($C$1646:C1649,"Show")) &amp; "."</f>
        <v>e.</v>
      </c>
      <c r="H1650" s="75" t="s">
        <v>1466</v>
      </c>
    </row>
    <row r="1651" spans="2:8" ht="30" hidden="1" outlineLevel="2">
      <c r="B1651" s="12" t="s">
        <v>1436</v>
      </c>
      <c r="C1651" s="9" t="str">
        <f>IF('1. Criteria &amp; Spec Matrix'!E273='3. Dropdowns'!C369,"Hide","Show")</f>
        <v>Show</v>
      </c>
      <c r="G1651" s="70" t="str">
        <f>CHAR(97+COUNTIF($C$1646:C1650,"Show")) &amp; "."</f>
        <v>f.</v>
      </c>
      <c r="H1651" s="75" t="s">
        <v>1467</v>
      </c>
    </row>
    <row r="1652" spans="2:8" ht="30" hidden="1" outlineLevel="2">
      <c r="B1652" s="12" t="s">
        <v>1437</v>
      </c>
      <c r="C1652" s="9" t="str">
        <f>IF('1. Criteria &amp; Spec Matrix'!E274='3. Dropdowns'!C369,"Hide","Show")</f>
        <v>Show</v>
      </c>
      <c r="G1652" s="70" t="str">
        <f>CHAR(97+COUNTIF($C$1646:C1651,"Show")) &amp; "."</f>
        <v>g.</v>
      </c>
      <c r="H1652" s="75" t="s">
        <v>1468</v>
      </c>
    </row>
    <row r="1653" spans="2:8" hidden="1" outlineLevel="2">
      <c r="B1653" s="12" t="s">
        <v>1438</v>
      </c>
      <c r="C1653" s="9" t="str">
        <f>IF('1. Criteria &amp; Spec Matrix'!E275='3. Dropdowns'!C369,"Hide","Show")</f>
        <v>Show</v>
      </c>
      <c r="G1653" s="70" t="str">
        <f>CHAR(97+COUNTIF($C$1646:C1652,"Show")) &amp; "."</f>
        <v>h.</v>
      </c>
      <c r="H1653" s="75" t="s">
        <v>1469</v>
      </c>
    </row>
    <row r="1654" spans="2:8" hidden="1" outlineLevel="2">
      <c r="B1654" s="12" t="s">
        <v>1440</v>
      </c>
      <c r="C1654" s="9" t="str">
        <f>IF('1. Criteria &amp; Spec Matrix'!E277='3. Dropdowns'!C369,"Hide","Show")</f>
        <v>Show</v>
      </c>
      <c r="G1654" s="70" t="str">
        <f>CHAR(97+COUNTIF($C$1646:C1653,"Show")) &amp; "."</f>
        <v>i.</v>
      </c>
      <c r="H1654" s="75" t="s">
        <v>1470</v>
      </c>
    </row>
    <row r="1655" spans="2:8" hidden="1" outlineLevel="2">
      <c r="B1655" s="12" t="s">
        <v>1441</v>
      </c>
      <c r="C1655" s="9" t="str">
        <f>IF('1. Criteria &amp; Spec Matrix'!E278='3. Dropdowns'!C369,"Hide","Show")</f>
        <v>Show</v>
      </c>
      <c r="G1655" s="70" t="str">
        <f>CHAR(97+COUNTIF($C$1646:C1654,"Show")) &amp; "."</f>
        <v>j.</v>
      </c>
      <c r="H1655" s="75" t="s">
        <v>1471</v>
      </c>
    </row>
    <row r="1656" spans="2:8" hidden="1" outlineLevel="2">
      <c r="B1656" s="12" t="s">
        <v>1442</v>
      </c>
      <c r="C1656" s="9" t="str">
        <f>IF('1. Criteria &amp; Spec Matrix'!E280='3. Dropdowns'!C369,"Hide","Show")</f>
        <v>Show</v>
      </c>
      <c r="G1656" s="70" t="str">
        <f>CHAR(97+COUNTIF($C$1646:C1655,"Show")) &amp; "."</f>
        <v>k.</v>
      </c>
      <c r="H1656" s="75" t="s">
        <v>1473</v>
      </c>
    </row>
    <row r="1657" spans="2:8" ht="30" hidden="1" outlineLevel="2">
      <c r="B1657" s="12" t="s">
        <v>1443</v>
      </c>
      <c r="C1657" s="9" t="str">
        <f>IF('1. Criteria &amp; Spec Matrix'!E281='3. Dropdowns'!C369,"Hide","Show")</f>
        <v>Show</v>
      </c>
      <c r="G1657" s="70" t="str">
        <f>CHAR(97+COUNTIF($C$1646:C1656,"Show")) &amp; "."</f>
        <v>l.</v>
      </c>
      <c r="H1657" s="75" t="s">
        <v>1474</v>
      </c>
    </row>
    <row r="1658" spans="2:8" hidden="1" outlineLevel="2">
      <c r="B1658" s="12" t="s">
        <v>1488</v>
      </c>
      <c r="C1658" s="7" t="str">
        <f>IF(COUNTIF(C1659:C1664,"Show")&gt;0,"Show","Hide")</f>
        <v>Show</v>
      </c>
      <c r="F1658" s="121" t="str">
        <f>(3+COUNTIF(C1570,"Show")+COUNTIF(C1577,"Show")+COUNTIF(C1587,"Show")+COUNTIF(C1596,"Show")+COUNTIF(C1600,"Show")+COUNTIF(C1606,"Show")+COUNTIF(C1614,"Show")+COUNTIF(C1622,"Show")+COUNTIF(C1629,"Show")+COUNTIF(C1633,"Show")+COUNTIF(C1645,"Show")) &amp; "."</f>
        <v>14.</v>
      </c>
      <c r="G1658" s="71" t="s">
        <v>1487</v>
      </c>
    </row>
    <row r="1659" spans="2:8" ht="30" hidden="1" outlineLevel="2">
      <c r="B1659" s="12" t="s">
        <v>1481</v>
      </c>
      <c r="C1659" s="9" t="str">
        <f>IF('1. Criteria &amp; Spec Matrix'!E283='3. Dropdowns'!C364,"Hide",IF(AND('1. Criteria &amp; Spec Matrix'!C285="Show",'1. Criteria &amp; Spec Matrix'!E284='3. Dropdowns'!C369),"Hide","Show"))</f>
        <v>Show</v>
      </c>
      <c r="F1659" s="116"/>
      <c r="G1659" s="70" t="s">
        <v>133</v>
      </c>
      <c r="H1659" s="75" t="s">
        <v>2571</v>
      </c>
    </row>
    <row r="1660" spans="2:8" ht="30" hidden="1" outlineLevel="2">
      <c r="B1660" s="12" t="s">
        <v>1484</v>
      </c>
      <c r="C1660" s="9" t="str">
        <f>IF('1. Criteria &amp; Spec Matrix'!E283='3. Dropdowns'!C364,"Hide",IF(AND('1. Criteria &amp; Spec Matrix'!C288="Show",'1. Criteria &amp; Spec Matrix'!E284='3. Dropdowns'!C369),"Hide","Show"))</f>
        <v>Show</v>
      </c>
      <c r="F1660" s="116"/>
      <c r="G1660" s="70" t="str">
        <f>CHAR(97+COUNTIF($C$1659:C1659,"Show")) &amp; "."</f>
        <v>b.</v>
      </c>
      <c r="H1660" s="75" t="s">
        <v>2572</v>
      </c>
    </row>
    <row r="1661" spans="2:8" ht="30" hidden="1" outlineLevel="2">
      <c r="B1661" s="12" t="s">
        <v>1484</v>
      </c>
      <c r="C1661" s="9" t="str">
        <f>C1660</f>
        <v>Show</v>
      </c>
      <c r="F1661" s="116"/>
      <c r="G1661" s="70" t="str">
        <f>CHAR(97+COUNTIF($C$1659:C1660,"Show")) &amp; "."</f>
        <v>c.</v>
      </c>
      <c r="H1661" s="75" t="s">
        <v>1494</v>
      </c>
    </row>
    <row r="1662" spans="2:8" ht="30" hidden="1" outlineLevel="2">
      <c r="B1662" s="12" t="s">
        <v>1483</v>
      </c>
      <c r="C1662" s="9" t="str">
        <f>IF('1. Criteria &amp; Spec Matrix'!E283='3. Dropdowns'!C364,"Hide",IF(AND('1. Criteria &amp; Spec Matrix'!C289="Show",'1. Criteria &amp; Spec Matrix'!E284='3. Dropdowns'!C369),"Hide","Show"))</f>
        <v>Show</v>
      </c>
      <c r="F1662" s="116"/>
      <c r="G1662" s="70" t="str">
        <f>CHAR(97+COUNTIF($C$1659:C1661,"Show")) &amp; "."</f>
        <v>d.</v>
      </c>
      <c r="H1662" s="75" t="s">
        <v>1495</v>
      </c>
    </row>
    <row r="1663" spans="2:8" ht="30" hidden="1" outlineLevel="2">
      <c r="B1663" s="12" t="s">
        <v>1485</v>
      </c>
      <c r="C1663" s="9" t="str">
        <f>IF('1. Criteria &amp; Spec Matrix'!E283='3. Dropdowns'!C364,"Hide",IF(AND('1. Criteria &amp; Spec Matrix'!C290="Show",'1. Criteria &amp; Spec Matrix'!E284='3. Dropdowns'!C369),"Hide","Show"))</f>
        <v>Show</v>
      </c>
      <c r="F1663" s="116"/>
      <c r="G1663" s="70" t="str">
        <f>CHAR(97+COUNTIF($C$1659:C1662,"Show")) &amp; "."</f>
        <v>e.</v>
      </c>
      <c r="H1663" s="75" t="s">
        <v>1496</v>
      </c>
    </row>
    <row r="1664" spans="2:8" ht="30" hidden="1" outlineLevel="2">
      <c r="B1664" s="12" t="s">
        <v>1486</v>
      </c>
      <c r="C1664" s="9" t="str">
        <f>IF('1. Criteria &amp; Spec Matrix'!E283='3. Dropdowns'!C364,"Hide",IF(AND('1. Criteria &amp; Spec Matrix'!C291="Show",'1. Criteria &amp; Spec Matrix'!E284='3. Dropdowns'!C369),"Hide","Show"))</f>
        <v>Show</v>
      </c>
      <c r="F1664" s="116"/>
      <c r="G1664" s="70" t="str">
        <f>CHAR(97+COUNTIF($C$1659:C1663,"Show")) &amp; "."</f>
        <v>f.</v>
      </c>
      <c r="H1664" s="75" t="s">
        <v>1497</v>
      </c>
    </row>
    <row r="1665" spans="2:8" hidden="1" outlineLevel="2">
      <c r="B1665" s="12" t="s">
        <v>1506</v>
      </c>
      <c r="C1665" s="7" t="str">
        <f>IF(COUNTIF(C1666:C1667,"Show")&gt;0,"Show","Hide")</f>
        <v>Show</v>
      </c>
      <c r="F1665" s="121" t="str">
        <f>(3+COUNTIF(C1570,"Show")+COUNTIF(C1577,"Show")+COUNTIF(C1587,"Show")+COUNTIF(C1596,"Show")+COUNTIF(C1600,"Show")+COUNTIF(C1606,"Show")+COUNTIF(C1614,"Show")+COUNTIF(C1622,"Show")+COUNTIF(C1629,"Show")+COUNTIF(C1633,"Show")+COUNTIF(C1645,"Show")+COUNTIF(C1658,"Show")) &amp; "."</f>
        <v>15.</v>
      </c>
      <c r="G1665" s="71" t="s">
        <v>2953</v>
      </c>
      <c r="H1665" s="117"/>
    </row>
    <row r="1666" spans="2:8" ht="30" hidden="1" outlineLevel="2">
      <c r="B1666" s="12" t="s">
        <v>1507</v>
      </c>
      <c r="C1666" s="9" t="str">
        <f>IF(OR('1. Criteria &amp; Spec Matrix'!E293='3. Dropdowns'!C371,'1. Criteria &amp; Spec Matrix'!E293='3. Dropdowns'!C374,'1. Criteria &amp; Spec Matrix'!E293='3. Dropdowns'!C375,'1. Criteria &amp; Spec Matrix'!E293='3. Dropdowns'!C377,,'1. Criteria &amp; Spec Matrix'!E293=""),"Show","Hide")</f>
        <v>Show</v>
      </c>
      <c r="F1666" s="116"/>
      <c r="G1666" s="70" t="s">
        <v>133</v>
      </c>
      <c r="H1666" s="117" t="s">
        <v>2578</v>
      </c>
    </row>
    <row r="1667" spans="2:8" ht="30" hidden="1" outlineLevel="2">
      <c r="B1667" s="12" t="s">
        <v>1508</v>
      </c>
      <c r="C1667" s="9" t="str">
        <f>IF(OR('1. Criteria &amp; Spec Matrix'!E293='3. Dropdowns'!C372,'1. Criteria &amp; Spec Matrix'!E293='3. Dropdowns'!C374,'1. Criteria &amp; Spec Matrix'!E293='3. Dropdowns'!C376,'1. Criteria &amp; Spec Matrix'!E293='3. Dropdowns'!C377,,'1. Criteria &amp; Spec Matrix'!E293=""),"Show","Hide")</f>
        <v>Show</v>
      </c>
      <c r="F1667" s="116"/>
      <c r="G1667" s="70" t="str">
        <f>CHAR(97+COUNTIF($C$1666:C1666,"Show")) &amp; "."</f>
        <v>b.</v>
      </c>
      <c r="H1667" s="117" t="s">
        <v>1513</v>
      </c>
    </row>
    <row r="1668" spans="2:8" hidden="1" outlineLevel="2">
      <c r="B1668" s="12" t="s">
        <v>1532</v>
      </c>
      <c r="C1668" s="7" t="str">
        <f>IF(COUNTIF(C1669:C1672,"Show")&gt;0,"Show","Hide")</f>
        <v>Show</v>
      </c>
      <c r="F1668" s="121" t="str">
        <f>(3+COUNTIF(C1570,"Show")+COUNTIF(C1577,"Show")+COUNTIF(C1587,"Show")+COUNTIF(C1596,"Show")+COUNTIF(C1600,"Show")+COUNTIF(C1606,"Show")+COUNTIF(C1614,"Show")+COUNTIF(C1622,"Show")+COUNTIF(C1629,"Show")+COUNTIF(C1633,"Show")+COUNTIF(C1645,"Show")+COUNTIF(C1658,"Show")+COUNTIF(C1665,"Show")) &amp; "."</f>
        <v>16.</v>
      </c>
      <c r="G1668" s="12" t="s">
        <v>1519</v>
      </c>
      <c r="H1668" s="117"/>
    </row>
    <row r="1669" spans="2:8" hidden="1" outlineLevel="2">
      <c r="B1669" s="12" t="s">
        <v>1522</v>
      </c>
      <c r="C1669" s="9" t="str">
        <f>IF(OR('1. Criteria &amp; Spec Matrix'!E294='3. Dropdowns'!C379,'1. Criteria &amp; Spec Matrix'!E294='3. Dropdowns'!C380,'1. Criteria &amp; Spec Matrix'!E294='3. Dropdowns'!C381,'1. Criteria &amp; Spec Matrix'!E294=""),"Show","Hide")</f>
        <v>Show</v>
      </c>
      <c r="F1669" s="116"/>
      <c r="G1669" s="70" t="s">
        <v>133</v>
      </c>
      <c r="H1669" s="117" t="s">
        <v>1533</v>
      </c>
    </row>
    <row r="1670" spans="2:8" ht="30" hidden="1" outlineLevel="2">
      <c r="B1670" s="12" t="s">
        <v>1524</v>
      </c>
      <c r="C1670" s="9" t="str">
        <f>IF(OR('1. Criteria &amp; Spec Matrix'!E294="",'1. Criteria &amp; Spec Matrix'!E294='3. Dropdowns'!C379),"Show","Hide")</f>
        <v>Show</v>
      </c>
      <c r="F1670" s="116"/>
      <c r="G1670" s="70" t="str">
        <f>CHAR(97+COUNTIF($C$1669:C1669,"Show")) &amp; "."</f>
        <v>b.</v>
      </c>
      <c r="H1670" s="117" t="s">
        <v>1534</v>
      </c>
    </row>
    <row r="1671" spans="2:8" ht="18" hidden="1" customHeight="1" outlineLevel="2">
      <c r="B1671" s="12" t="s">
        <v>1535</v>
      </c>
      <c r="C1671" s="9" t="str">
        <f>IF(OR('1. Criteria &amp; Spec Matrix'!E294="",'1. Criteria &amp; Spec Matrix'!E294='3. Dropdowns'!C380),"Show","Hide")</f>
        <v>Show</v>
      </c>
      <c r="G1671" s="70" t="str">
        <f>CHAR(97+COUNTIF($C$1669:C1670,"Show")) &amp; "."</f>
        <v>c.</v>
      </c>
      <c r="H1671" s="111" t="s">
        <v>1536</v>
      </c>
    </row>
    <row r="1672" spans="2:8" ht="30" hidden="1" outlineLevel="2">
      <c r="B1672" s="12" t="s">
        <v>1526</v>
      </c>
      <c r="C1672" s="9" t="str">
        <f>IF(OR('1. Criteria &amp; Spec Matrix'!E294="",'1. Criteria &amp; Spec Matrix'!E294='3. Dropdowns'!C382),"Show","Hide")</f>
        <v>Show</v>
      </c>
      <c r="G1672" s="70" t="str">
        <f>CHAR(97+COUNTIF($C$1669:C1671,"Show")) &amp; "."</f>
        <v>d.</v>
      </c>
      <c r="H1672" s="111" t="s">
        <v>1537</v>
      </c>
    </row>
    <row r="1673" spans="2:8" hidden="1" outlineLevel="2" collapsed="1">
      <c r="B1673" s="12" t="s">
        <v>1539</v>
      </c>
      <c r="C1673" s="9" t="str">
        <f>'1. Criteria &amp; Spec Matrix'!C296</f>
        <v>Show</v>
      </c>
      <c r="E1673" s="104" t="str">
        <f>CHAR(69+ COUNTIF(C1267,"Show")+COUNTIF(C1432,"Show")) &amp; "."</f>
        <v>G.</v>
      </c>
      <c r="F1673" s="120" t="s">
        <v>1540</v>
      </c>
      <c r="G1673" s="70"/>
      <c r="H1673" s="117"/>
    </row>
    <row r="1674" spans="2:8" hidden="1" outlineLevel="2">
      <c r="B1674" s="12" t="s">
        <v>1539</v>
      </c>
      <c r="C1674" s="9" t="str">
        <f>C1673</f>
        <v>Show</v>
      </c>
      <c r="F1674" s="121" t="s">
        <v>121</v>
      </c>
      <c r="G1674" s="71" t="s">
        <v>1557</v>
      </c>
    </row>
    <row r="1675" spans="2:8" ht="45" hidden="1" outlineLevel="2">
      <c r="B1675" s="12" t="s">
        <v>1539</v>
      </c>
      <c r="C1675" s="9" t="str">
        <f>C1673</f>
        <v>Show</v>
      </c>
      <c r="F1675" s="121"/>
      <c r="G1675" s="71" t="s">
        <v>133</v>
      </c>
      <c r="H1675" s="117" t="s">
        <v>1559</v>
      </c>
    </row>
    <row r="1676" spans="2:8" hidden="1" outlineLevel="2">
      <c r="B1676" s="12" t="s">
        <v>1567</v>
      </c>
      <c r="C1676" s="9" t="str">
        <f>IF(COUNTIF(C1677:C1684,"Show")&gt;0,"Show","Hide")</f>
        <v>Show</v>
      </c>
      <c r="F1676" s="121" t="str">
        <f>(1+COUNTIF(C1674,"Show")) &amp; "."</f>
        <v>2.</v>
      </c>
      <c r="G1676" s="71" t="s">
        <v>1566</v>
      </c>
      <c r="H1676" s="117"/>
    </row>
    <row r="1677" spans="2:8" ht="60" hidden="1" outlineLevel="2">
      <c r="B1677" s="12" t="s">
        <v>1567</v>
      </c>
      <c r="C1677" s="9" t="str">
        <f>IF(OR('1. Criteria &amp; Spec Matrix'!E301='3. Dropdowns'!C383,'1. Criteria &amp; Spec Matrix'!E301='3. Dropdowns'!D388,'1. Criteria &amp; Spec Matrix'!E301='3. Dropdowns'!D389),"Hide",IF('1. Criteria &amp; Spec Matrix'!C301="Hide","Hide","Show"))</f>
        <v>Show</v>
      </c>
      <c r="F1677" s="121"/>
      <c r="G1677" s="70" t="s">
        <v>133</v>
      </c>
      <c r="H1677" s="117" t="s">
        <v>1572</v>
      </c>
    </row>
    <row r="1678" spans="2:8" ht="30" hidden="1" outlineLevel="2">
      <c r="B1678" s="12" t="s">
        <v>1568</v>
      </c>
      <c r="C1678" s="9" t="str">
        <f>IF(OR('1. Criteria &amp; Spec Matrix'!E301='3. Dropdowns'!C384,AND('1. Criteria &amp; Spec Matrix'!C301="Show",'1. Criteria &amp; Spec Matrix'!E301="")),"Show","Hide")</f>
        <v>Show</v>
      </c>
      <c r="F1678" s="121"/>
      <c r="G1678" s="70" t="str">
        <f>CHAR(97+COUNTIF($C$1677:C1677,"Show")) &amp; "."</f>
        <v>b.</v>
      </c>
      <c r="H1678" s="117" t="s">
        <v>1575</v>
      </c>
    </row>
    <row r="1679" spans="2:8" ht="30" hidden="1" outlineLevel="2">
      <c r="B1679" s="12" t="s">
        <v>1569</v>
      </c>
      <c r="C1679" s="9" t="str">
        <f>IF(OR('1. Criteria &amp; Spec Matrix'!E301='3. Dropdowns'!C385,AND('1. Criteria &amp; Spec Matrix'!C301="Show",'1. Criteria &amp; Spec Matrix'!E301="")),"Show","Hide")</f>
        <v>Show</v>
      </c>
      <c r="G1679" s="70" t="str">
        <f>CHAR(97+COUNTIF($C$1677:C1678,"Show")) &amp; "."</f>
        <v>c.</v>
      </c>
      <c r="H1679" s="111" t="s">
        <v>1573</v>
      </c>
    </row>
    <row r="1680" spans="2:8" ht="45" hidden="1" outlineLevel="2">
      <c r="B1680" s="12" t="s">
        <v>1570</v>
      </c>
      <c r="C1680" s="9" t="str">
        <f>IF(OR('1. Criteria &amp; Spec Matrix'!E301='3. Dropdowns'!C386,AND('1. Criteria &amp; Spec Matrix'!C301="Show",'1. Criteria &amp; Spec Matrix'!E301="")),"Show","Hide")</f>
        <v>Show</v>
      </c>
      <c r="G1680" s="70" t="str">
        <f>CHAR(97+COUNTIF($C$1677:C1679,"Show")) &amp; "."</f>
        <v>d.</v>
      </c>
      <c r="H1680" s="111" t="s">
        <v>1574</v>
      </c>
    </row>
    <row r="1681" spans="2:15" ht="92.1" hidden="1" customHeight="1" outlineLevel="2">
      <c r="B1681" s="12" t="s">
        <v>1571</v>
      </c>
      <c r="C1681" s="9" t="str">
        <f>IF(OR('1. Criteria &amp; Spec Matrix'!E301='3. Dropdowns'!C387,AND('1. Criteria &amp; Spec Matrix'!C301="Show",'1. Criteria &amp; Spec Matrix'!E301="")),"Show","Hide")</f>
        <v>Show</v>
      </c>
      <c r="G1681" s="70" t="str">
        <f>CHAR(97+COUNTIF($C$1677:C1680,"Show")) &amp; "."</f>
        <v>e.</v>
      </c>
      <c r="H1681" s="131" t="s">
        <v>1577</v>
      </c>
    </row>
    <row r="1682" spans="2:15" ht="45" hidden="1" outlineLevel="2">
      <c r="B1682" s="12" t="s">
        <v>1571</v>
      </c>
      <c r="C1682" s="9" t="str">
        <f>C1681</f>
        <v>Show</v>
      </c>
      <c r="G1682" s="70"/>
      <c r="H1682" s="154" t="s">
        <v>1576</v>
      </c>
    </row>
    <row r="1683" spans="2:15" hidden="1" outlineLevel="2">
      <c r="B1683" s="12" t="s">
        <v>3074</v>
      </c>
      <c r="C1683" s="9" t="str">
        <f>IF(OR('1. Criteria &amp; Spec Matrix'!E301='3. Dropdowns'!D388,AND('1. Criteria &amp; Spec Matrix'!E301="",'1. Criteria &amp; Spec Matrix'!C301="Show")),"Show","Hide")</f>
        <v>Show</v>
      </c>
      <c r="G1683" s="70" t="str">
        <f>CHAR(97+COUNTIF($C$1677:C1681,"Show")) &amp; "."</f>
        <v>f.</v>
      </c>
      <c r="H1683" s="154" t="s">
        <v>3072</v>
      </c>
    </row>
    <row r="1684" spans="2:15" hidden="1" outlineLevel="2">
      <c r="B1684" s="12" t="s">
        <v>3075</v>
      </c>
      <c r="C1684" s="9" t="str">
        <f>IF(OR('1. Criteria &amp; Spec Matrix'!E301='3. Dropdowns'!D389,AND('1. Criteria &amp; Spec Matrix'!E301="",'1. Criteria &amp; Spec Matrix'!C301="Show")),"Show","Hide")</f>
        <v>Show</v>
      </c>
      <c r="G1684" s="70" t="str">
        <f>CHAR(97+COUNTIF($C$1677:C1682,"Show")) &amp; "."</f>
        <v>g.</v>
      </c>
      <c r="H1684" s="154" t="s">
        <v>3073</v>
      </c>
    </row>
    <row r="1685" spans="2:15" hidden="1" outlineLevel="2">
      <c r="B1685" s="76"/>
      <c r="C1685" s="7" t="s">
        <v>116</v>
      </c>
      <c r="G1685" s="70"/>
      <c r="H1685" s="154"/>
    </row>
    <row r="1686" spans="2:15" outlineLevel="1" collapsed="1">
      <c r="B1686" s="76"/>
      <c r="C1686" s="7" t="s">
        <v>116</v>
      </c>
    </row>
    <row r="1687" spans="2:15">
      <c r="B1687" s="76"/>
      <c r="C1687" s="7" t="s">
        <v>116</v>
      </c>
      <c r="D1687" s="51" t="s">
        <v>232</v>
      </c>
      <c r="E1687" s="56"/>
      <c r="F1687" s="52" t="s">
        <v>233</v>
      </c>
      <c r="G1687" s="59"/>
      <c r="H1687" s="58"/>
      <c r="I1687" s="80"/>
      <c r="J1687" s="69"/>
    </row>
    <row r="1688" spans="2:15" hidden="1" outlineLevel="1">
      <c r="B1688" s="76"/>
      <c r="C1688" s="7" t="s">
        <v>116</v>
      </c>
      <c r="D1688" s="23" t="s">
        <v>117</v>
      </c>
      <c r="G1688" s="13"/>
      <c r="I1688" s="79"/>
      <c r="J1688" s="80"/>
      <c r="O1688" s="80"/>
    </row>
    <row r="1689" spans="2:15" hidden="1" outlineLevel="1">
      <c r="B1689" s="76"/>
      <c r="C1689" s="7" t="s">
        <v>116</v>
      </c>
      <c r="D1689" s="23"/>
      <c r="E1689" s="13">
        <v>1.1000000000000001</v>
      </c>
      <c r="F1689" s="11" t="s">
        <v>118</v>
      </c>
      <c r="G1689" s="13"/>
      <c r="I1689" s="79"/>
      <c r="J1689" s="80"/>
      <c r="O1689" s="80"/>
    </row>
    <row r="1690" spans="2:15" hidden="1" outlineLevel="1">
      <c r="B1690" s="76"/>
      <c r="C1690" s="7" t="s">
        <v>116</v>
      </c>
      <c r="D1690" s="23"/>
      <c r="E1690" s="13"/>
      <c r="F1690" s="70" t="s">
        <v>119</v>
      </c>
      <c r="G1690" s="18" t="s">
        <v>677</v>
      </c>
      <c r="I1690" s="79"/>
      <c r="J1690" s="80"/>
      <c r="K1690" s="27"/>
      <c r="L1690" s="27"/>
      <c r="M1690" s="27"/>
      <c r="N1690" s="28"/>
      <c r="O1690" s="27"/>
    </row>
    <row r="1691" spans="2:15" hidden="1" outlineLevel="1">
      <c r="B1691" s="76"/>
      <c r="C1691" s="7" t="s">
        <v>116</v>
      </c>
      <c r="D1691" s="23"/>
      <c r="E1691" s="13"/>
      <c r="F1691" s="70"/>
      <c r="G1691" s="78" t="s">
        <v>121</v>
      </c>
      <c r="H1691" s="79" t="s">
        <v>2344</v>
      </c>
      <c r="I1691" s="79"/>
      <c r="J1691" s="80"/>
      <c r="O1691" s="80"/>
    </row>
    <row r="1692" spans="2:15" hidden="1" outlineLevel="1">
      <c r="B1692" s="76"/>
      <c r="C1692" s="7" t="s">
        <v>116</v>
      </c>
      <c r="D1692" s="23"/>
      <c r="E1692" s="13">
        <v>1.2</v>
      </c>
      <c r="F1692" s="71" t="s">
        <v>131</v>
      </c>
      <c r="G1692" s="78"/>
      <c r="I1692" s="79"/>
      <c r="J1692" s="80"/>
      <c r="O1692" s="80"/>
    </row>
    <row r="1693" spans="2:15" hidden="1" outlineLevel="1">
      <c r="B1693" s="11" t="s">
        <v>748</v>
      </c>
      <c r="C1693" s="7" t="str">
        <f>IF('1. Criteria &amp; Spec Matrix'!C185="Show","Show","Hide")</f>
        <v>Show</v>
      </c>
      <c r="D1693" s="23"/>
      <c r="E1693" s="13"/>
      <c r="F1693" s="70" t="s">
        <v>119</v>
      </c>
      <c r="G1693" s="12" t="s">
        <v>3410</v>
      </c>
      <c r="I1693" s="79"/>
      <c r="J1693" s="80"/>
      <c r="O1693" s="80"/>
    </row>
    <row r="1694" spans="2:15" hidden="1" outlineLevel="1">
      <c r="B1694" s="11" t="s">
        <v>748</v>
      </c>
      <c r="C1694" s="7" t="str">
        <f>C1693</f>
        <v>Show</v>
      </c>
      <c r="D1694" s="23"/>
      <c r="E1694" s="13"/>
      <c r="F1694" s="70"/>
      <c r="G1694" s="78" t="s">
        <v>121</v>
      </c>
      <c r="H1694" s="75" t="s">
        <v>2335</v>
      </c>
      <c r="I1694" s="79"/>
      <c r="J1694" s="80"/>
      <c r="O1694" s="80"/>
    </row>
    <row r="1695" spans="2:15" hidden="1" outlineLevel="1">
      <c r="B1695" s="11" t="s">
        <v>2349</v>
      </c>
      <c r="C1695" s="7" t="str">
        <f>IF('1. Criteria &amp; Spec Matrix'!C186="Show","Show","Hide")</f>
        <v>Show</v>
      </c>
      <c r="D1695" s="23"/>
      <c r="E1695" s="13"/>
      <c r="F1695" s="70" t="str">
        <f>IF(C1693="Show","B.","A.")</f>
        <v>B.</v>
      </c>
      <c r="G1695" s="12" t="s">
        <v>3414</v>
      </c>
      <c r="I1695" s="79"/>
      <c r="J1695" s="80"/>
      <c r="O1695" s="80"/>
    </row>
    <row r="1696" spans="2:15" hidden="1" outlineLevel="1">
      <c r="B1696" s="11" t="s">
        <v>2349</v>
      </c>
      <c r="C1696" s="7" t="str">
        <f>C1695</f>
        <v>Show</v>
      </c>
      <c r="D1696" s="23"/>
      <c r="E1696" s="13"/>
      <c r="F1696" s="70"/>
      <c r="G1696" s="78" t="s">
        <v>121</v>
      </c>
      <c r="H1696" s="75" t="s">
        <v>2350</v>
      </c>
      <c r="I1696" s="79"/>
      <c r="J1696" s="80"/>
      <c r="O1696" s="80"/>
    </row>
    <row r="1697" spans="2:19" hidden="1" outlineLevel="1">
      <c r="B1697" s="76"/>
      <c r="C1697" s="7" t="s">
        <v>116</v>
      </c>
      <c r="D1697" s="23" t="s">
        <v>613</v>
      </c>
      <c r="E1697" s="13"/>
      <c r="G1697" s="13"/>
      <c r="I1697" s="79"/>
      <c r="J1697" s="80"/>
      <c r="O1697" s="80"/>
    </row>
    <row r="1698" spans="2:19" hidden="1" outlineLevel="1">
      <c r="B1698" s="76"/>
      <c r="C1698" s="7" t="s">
        <v>116</v>
      </c>
      <c r="D1698" s="23"/>
      <c r="E1698" s="12" t="s">
        <v>2320</v>
      </c>
      <c r="G1698" s="13"/>
      <c r="I1698" s="79"/>
      <c r="J1698" s="80"/>
      <c r="O1698" s="80"/>
    </row>
    <row r="1699" spans="2:19" hidden="1" outlineLevel="1">
      <c r="B1699" s="11" t="s">
        <v>748</v>
      </c>
      <c r="C1699" s="7" t="str">
        <f>C1693</f>
        <v>Show</v>
      </c>
      <c r="D1699" s="23"/>
      <c r="E1699" s="12"/>
      <c r="F1699" s="70" t="s">
        <v>119</v>
      </c>
      <c r="G1699" s="12" t="s">
        <v>3410</v>
      </c>
      <c r="I1699" s="79"/>
      <c r="J1699" s="80"/>
      <c r="O1699" s="80"/>
    </row>
    <row r="1700" spans="2:19" hidden="1" outlineLevel="1">
      <c r="B1700" s="11" t="s">
        <v>748</v>
      </c>
      <c r="C1700" s="7" t="str">
        <f>C1693</f>
        <v>Show</v>
      </c>
      <c r="D1700" s="23"/>
      <c r="E1700" s="12"/>
      <c r="G1700" s="30" t="s">
        <v>121</v>
      </c>
      <c r="H1700" s="75" t="s">
        <v>2337</v>
      </c>
      <c r="I1700" s="79"/>
      <c r="J1700" s="80"/>
      <c r="O1700" s="80"/>
    </row>
    <row r="1701" spans="2:19" hidden="1" outlineLevel="1">
      <c r="B1701" s="11" t="s">
        <v>2349</v>
      </c>
      <c r="C1701" s="7" t="str">
        <f>C1695</f>
        <v>Show</v>
      </c>
      <c r="D1701" s="23"/>
      <c r="E1701" s="12"/>
      <c r="F1701" s="70" t="str">
        <f>IF(C1699="Show","B.","A.")</f>
        <v>B.</v>
      </c>
      <c r="G1701" s="12" t="s">
        <v>3414</v>
      </c>
      <c r="I1701" s="79"/>
      <c r="J1701" s="80"/>
      <c r="O1701" s="80"/>
    </row>
    <row r="1702" spans="2:19" hidden="1" outlineLevel="1">
      <c r="B1702" s="11" t="s">
        <v>2349</v>
      </c>
      <c r="C1702" s="7" t="str">
        <f>C1695</f>
        <v>Show</v>
      </c>
      <c r="D1702" s="23"/>
      <c r="E1702" s="12"/>
      <c r="G1702" s="30" t="s">
        <v>121</v>
      </c>
      <c r="H1702" s="75" t="s">
        <v>2351</v>
      </c>
      <c r="I1702" s="79"/>
      <c r="J1702" s="80"/>
      <c r="O1702" s="80"/>
    </row>
    <row r="1703" spans="2:19" hidden="1" outlineLevel="1">
      <c r="B1703" s="76"/>
      <c r="C1703" s="7" t="s">
        <v>116</v>
      </c>
      <c r="D1703" s="23" t="s">
        <v>187</v>
      </c>
      <c r="E1703" s="13"/>
      <c r="G1703" s="13"/>
      <c r="I1703" s="79"/>
      <c r="J1703" s="80"/>
      <c r="O1703" s="80"/>
    </row>
    <row r="1704" spans="2:19" hidden="1" outlineLevel="1">
      <c r="B1704" s="76"/>
      <c r="C1704" s="7" t="s">
        <v>116</v>
      </c>
      <c r="D1704" s="23"/>
      <c r="E1704" s="13">
        <v>3.1</v>
      </c>
      <c r="F1704" s="11" t="s">
        <v>616</v>
      </c>
      <c r="G1704" s="13"/>
      <c r="I1704" s="79"/>
      <c r="J1704" s="80"/>
      <c r="O1704" s="80"/>
    </row>
    <row r="1705" spans="2:19" hidden="1" outlineLevel="1">
      <c r="B1705" s="11" t="s">
        <v>748</v>
      </c>
      <c r="C1705" s="7" t="str">
        <f>C1693</f>
        <v>Show</v>
      </c>
      <c r="D1705" s="23"/>
      <c r="E1705" s="13"/>
      <c r="F1705" s="70" t="s">
        <v>119</v>
      </c>
      <c r="G1705" s="12" t="s">
        <v>3404</v>
      </c>
      <c r="I1705" s="79"/>
      <c r="J1705" s="80"/>
      <c r="O1705" s="80"/>
    </row>
    <row r="1706" spans="2:19" ht="30" hidden="1" outlineLevel="1">
      <c r="B1706" s="11" t="s">
        <v>748</v>
      </c>
      <c r="C1706" s="7" t="str">
        <f>C1693</f>
        <v>Show</v>
      </c>
      <c r="D1706" s="23"/>
      <c r="E1706" s="13"/>
      <c r="G1706" s="78" t="s">
        <v>121</v>
      </c>
      <c r="H1706" s="75" t="s">
        <v>2339</v>
      </c>
      <c r="I1706" s="79"/>
      <c r="J1706" s="80"/>
      <c r="O1706" s="80"/>
    </row>
    <row r="1707" spans="2:19" hidden="1" outlineLevel="1">
      <c r="B1707" s="11" t="s">
        <v>2349</v>
      </c>
      <c r="C1707" s="7" t="str">
        <f>C1695</f>
        <v>Show</v>
      </c>
      <c r="D1707" s="23"/>
      <c r="E1707" s="13"/>
      <c r="F1707" s="70" t="str">
        <f>IF(C1705="Show","B.","A.")</f>
        <v>B.</v>
      </c>
      <c r="G1707" s="12" t="s">
        <v>3414</v>
      </c>
      <c r="I1707" s="79"/>
      <c r="J1707" s="80"/>
      <c r="O1707" s="80"/>
    </row>
    <row r="1708" spans="2:19" ht="30" hidden="1" outlineLevel="1">
      <c r="B1708" s="11" t="s">
        <v>2349</v>
      </c>
      <c r="C1708" s="7" t="str">
        <f>C1695</f>
        <v>Show</v>
      </c>
      <c r="D1708" s="23"/>
      <c r="E1708" s="13"/>
      <c r="G1708" s="78" t="s">
        <v>121</v>
      </c>
      <c r="H1708" s="75" t="s">
        <v>2352</v>
      </c>
      <c r="I1708" s="79"/>
      <c r="J1708" s="80"/>
      <c r="O1708" s="80"/>
    </row>
    <row r="1709" spans="2:19" collapsed="1">
      <c r="B1709" s="11" t="s">
        <v>2353</v>
      </c>
      <c r="C1709" s="2" t="str">
        <f>IF('1. Criteria &amp; Spec Matrix'!C297="Show","Show","Hide")</f>
        <v>Show</v>
      </c>
      <c r="D1709" s="51" t="s">
        <v>1594</v>
      </c>
      <c r="E1709" s="56"/>
      <c r="F1709" s="52" t="s">
        <v>1592</v>
      </c>
      <c r="G1709" s="59"/>
      <c r="H1709" s="58"/>
      <c r="I1709" s="80"/>
      <c r="J1709" s="69"/>
    </row>
    <row r="1710" spans="2:19" hidden="1" outlineLevel="1">
      <c r="B1710" s="11" t="s">
        <v>2353</v>
      </c>
      <c r="C1710" s="7" t="str">
        <f>C1709</f>
        <v>Show</v>
      </c>
      <c r="D1710" s="23" t="s">
        <v>117</v>
      </c>
      <c r="E1710" s="13"/>
      <c r="G1710" s="13"/>
      <c r="I1710" s="79"/>
      <c r="J1710" s="80"/>
      <c r="K1710" s="80"/>
      <c r="M1710" s="80"/>
      <c r="N1710" s="80"/>
      <c r="O1710" s="80"/>
      <c r="P1710" s="80"/>
      <c r="Q1710" s="80"/>
      <c r="R1710" s="81"/>
      <c r="S1710" s="80"/>
    </row>
    <row r="1711" spans="2:19" hidden="1" outlineLevel="1">
      <c r="B1711" s="11" t="s">
        <v>2353</v>
      </c>
      <c r="C1711" s="7" t="str">
        <f>C1709</f>
        <v>Show</v>
      </c>
      <c r="D1711" s="23"/>
      <c r="E1711" s="13">
        <v>1.1000000000000001</v>
      </c>
      <c r="F1711" s="11" t="s">
        <v>118</v>
      </c>
      <c r="G1711" s="13"/>
      <c r="I1711" s="79"/>
      <c r="J1711" s="80"/>
      <c r="O1711" s="80"/>
    </row>
    <row r="1712" spans="2:19" hidden="1" outlineLevel="1">
      <c r="B1712" s="11" t="s">
        <v>2353</v>
      </c>
      <c r="C1712" s="7" t="str">
        <f>C1709</f>
        <v>Show</v>
      </c>
      <c r="D1712" s="23"/>
      <c r="E1712" s="13"/>
      <c r="F1712" s="70" t="s">
        <v>119</v>
      </c>
      <c r="G1712" s="18" t="s">
        <v>677</v>
      </c>
      <c r="I1712" s="79"/>
      <c r="J1712" s="80"/>
      <c r="K1712" s="27"/>
      <c r="L1712" s="27"/>
      <c r="M1712" s="27"/>
      <c r="N1712" s="28"/>
      <c r="O1712" s="27"/>
    </row>
    <row r="1713" spans="2:15" hidden="1" outlineLevel="1">
      <c r="B1713" s="11" t="s">
        <v>2353</v>
      </c>
      <c r="C1713" s="7" t="str">
        <f>C1709</f>
        <v>Show</v>
      </c>
      <c r="D1713" s="23"/>
      <c r="E1713" s="13"/>
      <c r="F1713" s="70"/>
      <c r="G1713" s="78" t="s">
        <v>121</v>
      </c>
      <c r="H1713" s="79" t="s">
        <v>2301</v>
      </c>
      <c r="I1713" s="27"/>
      <c r="J1713" s="27"/>
      <c r="K1713" s="27"/>
      <c r="L1713" s="83"/>
      <c r="M1713" s="27"/>
      <c r="O1713" s="80"/>
    </row>
    <row r="1714" spans="2:15" hidden="1" outlineLevel="1">
      <c r="B1714" s="11" t="s">
        <v>2353</v>
      </c>
      <c r="C1714" s="7" t="str">
        <f>C1709</f>
        <v>Show</v>
      </c>
      <c r="D1714" s="23"/>
      <c r="E1714" s="13">
        <v>1.2</v>
      </c>
      <c r="F1714" s="71" t="s">
        <v>131</v>
      </c>
      <c r="G1714" s="78"/>
      <c r="I1714" s="79"/>
      <c r="J1714" s="80"/>
      <c r="O1714" s="80"/>
    </row>
    <row r="1715" spans="2:15" hidden="1" outlineLevel="1">
      <c r="B1715" s="11" t="s">
        <v>2353</v>
      </c>
      <c r="C1715" s="7" t="str">
        <f>C1709</f>
        <v>Show</v>
      </c>
      <c r="D1715" s="23"/>
      <c r="E1715" s="13"/>
      <c r="F1715" s="70" t="s">
        <v>119</v>
      </c>
      <c r="G1715" s="12" t="s">
        <v>3408</v>
      </c>
      <c r="I1715" s="79"/>
      <c r="J1715" s="80"/>
      <c r="O1715" s="80"/>
    </row>
    <row r="1716" spans="2:15" hidden="1" outlineLevel="1">
      <c r="B1716" s="11" t="s">
        <v>2353</v>
      </c>
      <c r="C1716" s="7" t="str">
        <f>C1709</f>
        <v>Show</v>
      </c>
      <c r="D1716" s="23"/>
      <c r="E1716" s="13"/>
      <c r="F1716" s="70"/>
      <c r="G1716" s="78" t="s">
        <v>121</v>
      </c>
      <c r="H1716" s="75" t="s">
        <v>2326</v>
      </c>
      <c r="I1716" s="79"/>
      <c r="J1716" s="80"/>
      <c r="O1716" s="80"/>
    </row>
    <row r="1717" spans="2:15" hidden="1" outlineLevel="1">
      <c r="B1717" s="11" t="s">
        <v>2353</v>
      </c>
      <c r="C1717" s="7" t="str">
        <f>C1709</f>
        <v>Show</v>
      </c>
      <c r="D1717" s="23" t="s">
        <v>613</v>
      </c>
      <c r="E1717" s="13"/>
      <c r="G1717" s="13"/>
      <c r="I1717" s="79"/>
      <c r="J1717" s="80"/>
      <c r="O1717" s="80"/>
    </row>
    <row r="1718" spans="2:15" hidden="1" outlineLevel="1">
      <c r="B1718" s="11" t="s">
        <v>2353</v>
      </c>
      <c r="C1718" s="7" t="str">
        <f>C1709</f>
        <v>Show</v>
      </c>
      <c r="D1718" s="23"/>
      <c r="E1718" s="12" t="s">
        <v>679</v>
      </c>
      <c r="G1718" s="13"/>
      <c r="I1718" s="79"/>
      <c r="J1718" s="80"/>
      <c r="O1718" s="80"/>
    </row>
    <row r="1719" spans="2:15" hidden="1" outlineLevel="1">
      <c r="B1719" s="11" t="s">
        <v>2353</v>
      </c>
      <c r="C1719" s="7" t="str">
        <f>C1709</f>
        <v>Show</v>
      </c>
      <c r="D1719" s="23" t="s">
        <v>187</v>
      </c>
      <c r="E1719" s="13"/>
      <c r="G1719" s="13"/>
      <c r="I1719" s="79"/>
      <c r="J1719" s="80"/>
      <c r="O1719" s="80"/>
    </row>
    <row r="1720" spans="2:15" hidden="1" outlineLevel="1">
      <c r="B1720" s="11" t="s">
        <v>2353</v>
      </c>
      <c r="C1720" s="7" t="str">
        <f>C1709</f>
        <v>Show</v>
      </c>
      <c r="D1720" s="23"/>
      <c r="E1720" s="12" t="s">
        <v>679</v>
      </c>
      <c r="G1720" s="13"/>
      <c r="I1720" s="79"/>
      <c r="J1720" s="80"/>
      <c r="O1720" s="80"/>
    </row>
    <row r="1721" spans="2:15" hidden="1" outlineLevel="1">
      <c r="B1721" s="11" t="s">
        <v>2353</v>
      </c>
      <c r="C1721" s="2" t="str">
        <f>C1709</f>
        <v>Show</v>
      </c>
      <c r="D1721" s="23"/>
      <c r="I1721" s="80"/>
      <c r="J1721" s="69"/>
    </row>
    <row r="1722" spans="2:15" collapsed="1">
      <c r="B1722" s="11" t="s">
        <v>2353</v>
      </c>
      <c r="C1722" s="2" t="str">
        <f>C1709</f>
        <v>Show</v>
      </c>
      <c r="D1722" s="51" t="s">
        <v>1595</v>
      </c>
      <c r="E1722" s="56"/>
      <c r="F1722" s="52" t="s">
        <v>1593</v>
      </c>
      <c r="G1722" s="59"/>
      <c r="H1722" s="58"/>
      <c r="I1722" s="80"/>
      <c r="J1722" s="69"/>
    </row>
    <row r="1723" spans="2:15" hidden="1" outlineLevel="1">
      <c r="B1723" s="11" t="s">
        <v>2353</v>
      </c>
      <c r="C1723" s="2" t="str">
        <f>C1709</f>
        <v>Show</v>
      </c>
      <c r="D1723" s="23" t="s">
        <v>117</v>
      </c>
      <c r="E1723" s="13"/>
      <c r="G1723" s="13"/>
      <c r="I1723" s="80"/>
      <c r="J1723" s="69"/>
    </row>
    <row r="1724" spans="2:15" hidden="1" outlineLevel="1">
      <c r="B1724" s="11" t="s">
        <v>2353</v>
      </c>
      <c r="C1724" s="7" t="str">
        <f>C1709</f>
        <v>Show</v>
      </c>
      <c r="D1724" s="23"/>
      <c r="E1724" s="13">
        <v>1.1000000000000001</v>
      </c>
      <c r="F1724" s="11" t="s">
        <v>118</v>
      </c>
      <c r="G1724" s="13"/>
      <c r="I1724" s="79"/>
      <c r="J1724" s="80"/>
      <c r="O1724" s="80"/>
    </row>
    <row r="1725" spans="2:15" hidden="1" outlineLevel="1">
      <c r="B1725" s="11" t="s">
        <v>2353</v>
      </c>
      <c r="C1725" s="7" t="str">
        <f>C1709</f>
        <v>Show</v>
      </c>
      <c r="D1725" s="23"/>
      <c r="E1725" s="13"/>
      <c r="F1725" s="70" t="s">
        <v>119</v>
      </c>
      <c r="G1725" s="18" t="s">
        <v>677</v>
      </c>
      <c r="I1725" s="79"/>
      <c r="J1725" s="80"/>
      <c r="K1725" s="27"/>
      <c r="L1725" s="27"/>
      <c r="M1725" s="27"/>
      <c r="N1725" s="28"/>
      <c r="O1725" s="27"/>
    </row>
    <row r="1726" spans="2:15" hidden="1" outlineLevel="1">
      <c r="B1726" s="11" t="s">
        <v>2353</v>
      </c>
      <c r="C1726" s="7" t="str">
        <f>C1709</f>
        <v>Show</v>
      </c>
      <c r="D1726" s="23"/>
      <c r="E1726" s="13"/>
      <c r="F1726" s="70"/>
      <c r="G1726" s="78" t="s">
        <v>121</v>
      </c>
      <c r="H1726" s="79" t="s">
        <v>2301</v>
      </c>
      <c r="I1726" s="27"/>
      <c r="J1726" s="27"/>
      <c r="K1726" s="27"/>
      <c r="L1726" s="83"/>
      <c r="M1726" s="27"/>
      <c r="O1726" s="80"/>
    </row>
    <row r="1727" spans="2:15" hidden="1" outlineLevel="1">
      <c r="B1727" s="11" t="s">
        <v>2353</v>
      </c>
      <c r="C1727" s="7" t="str">
        <f>C1709</f>
        <v>Show</v>
      </c>
      <c r="D1727" s="23"/>
      <c r="E1727" s="13">
        <v>1.2</v>
      </c>
      <c r="F1727" s="71" t="s">
        <v>131</v>
      </c>
      <c r="G1727" s="78"/>
      <c r="I1727" s="79"/>
      <c r="J1727" s="80"/>
      <c r="O1727" s="80"/>
    </row>
    <row r="1728" spans="2:15" hidden="1" outlineLevel="1">
      <c r="B1728" s="11" t="s">
        <v>2353</v>
      </c>
      <c r="C1728" s="7" t="str">
        <f>C1709</f>
        <v>Show</v>
      </c>
      <c r="D1728" s="23"/>
      <c r="E1728" s="13"/>
      <c r="F1728" s="70" t="s">
        <v>119</v>
      </c>
      <c r="G1728" s="12" t="s">
        <v>3408</v>
      </c>
      <c r="I1728" s="79"/>
      <c r="J1728" s="80"/>
      <c r="O1728" s="80"/>
    </row>
    <row r="1729" spans="2:15" hidden="1" outlineLevel="1">
      <c r="B1729" s="11" t="s">
        <v>2353</v>
      </c>
      <c r="C1729" s="7" t="str">
        <f>C1709</f>
        <v>Show</v>
      </c>
      <c r="D1729" s="23"/>
      <c r="E1729" s="13"/>
      <c r="F1729" s="70"/>
      <c r="G1729" s="78" t="s">
        <v>121</v>
      </c>
      <c r="H1729" s="75" t="s">
        <v>2326</v>
      </c>
      <c r="I1729" s="79"/>
      <c r="J1729" s="80"/>
      <c r="O1729" s="80"/>
    </row>
    <row r="1730" spans="2:15" hidden="1" outlineLevel="1">
      <c r="B1730" s="11" t="s">
        <v>2353</v>
      </c>
      <c r="C1730" s="7" t="str">
        <f>C1709</f>
        <v>Show</v>
      </c>
      <c r="D1730" s="23" t="s">
        <v>613</v>
      </c>
      <c r="E1730" s="13"/>
      <c r="G1730" s="13"/>
      <c r="I1730" s="79"/>
      <c r="J1730" s="80"/>
      <c r="O1730" s="80"/>
    </row>
    <row r="1731" spans="2:15" hidden="1" outlineLevel="1">
      <c r="B1731" s="11" t="s">
        <v>2353</v>
      </c>
      <c r="C1731" s="7" t="str">
        <f>C1709</f>
        <v>Show</v>
      </c>
      <c r="D1731" s="23"/>
      <c r="E1731" s="12" t="s">
        <v>679</v>
      </c>
      <c r="G1731" s="13"/>
      <c r="I1731" s="79"/>
      <c r="J1731" s="80"/>
      <c r="O1731" s="80"/>
    </row>
    <row r="1732" spans="2:15" hidden="1" outlineLevel="1">
      <c r="B1732" s="11" t="s">
        <v>2353</v>
      </c>
      <c r="C1732" s="7" t="str">
        <f>C1709</f>
        <v>Show</v>
      </c>
      <c r="D1732" s="23" t="s">
        <v>187</v>
      </c>
      <c r="E1732" s="13"/>
      <c r="G1732" s="13"/>
      <c r="I1732" s="79"/>
      <c r="J1732" s="80"/>
      <c r="O1732" s="80"/>
    </row>
    <row r="1733" spans="2:15" hidden="1" outlineLevel="1">
      <c r="B1733" s="11" t="s">
        <v>2353</v>
      </c>
      <c r="C1733" s="7" t="str">
        <f>C1709</f>
        <v>Show</v>
      </c>
      <c r="D1733" s="23"/>
      <c r="E1733" s="12" t="s">
        <v>679</v>
      </c>
      <c r="G1733" s="13"/>
      <c r="I1733" s="79"/>
      <c r="J1733" s="80"/>
      <c r="O1733" s="80"/>
    </row>
    <row r="1734" spans="2:15" hidden="1" outlineLevel="1">
      <c r="B1734" s="11" t="s">
        <v>2353</v>
      </c>
      <c r="C1734" s="2" t="str">
        <f>C1709</f>
        <v>Show</v>
      </c>
      <c r="D1734" s="23"/>
    </row>
    <row r="1735" spans="2:15" collapsed="1">
      <c r="B1735" s="76"/>
      <c r="C1735" s="7" t="s">
        <v>116</v>
      </c>
    </row>
    <row r="1736" spans="2:15">
      <c r="B1736" s="76" t="s">
        <v>2506</v>
      </c>
      <c r="C1736" s="7" t="str">
        <f>C28</f>
        <v>Show</v>
      </c>
      <c r="D1736" s="38" t="s">
        <v>546</v>
      </c>
      <c r="E1736" s="44"/>
      <c r="F1736" s="39"/>
      <c r="G1736" s="39"/>
      <c r="H1736" s="41"/>
    </row>
    <row r="1737" spans="2:15">
      <c r="B1737" s="77" t="s">
        <v>2355</v>
      </c>
      <c r="C1737" s="7" t="str">
        <f>IF(OR('1. Criteria &amp; Spec Matrix'!E39="",'1. Criteria &amp; Spec Matrix'!E39='3. Dropdowns'!C66),"Show","Hide")</f>
        <v>Show</v>
      </c>
      <c r="D1737" s="51" t="s">
        <v>1615</v>
      </c>
      <c r="E1737" s="52"/>
      <c r="F1737" s="52" t="s">
        <v>1596</v>
      </c>
      <c r="G1737" s="59"/>
      <c r="H1737" s="58"/>
    </row>
    <row r="1738" spans="2:15" hidden="1" outlineLevel="1">
      <c r="B1738" s="77" t="s">
        <v>2355</v>
      </c>
      <c r="C1738" s="7" t="str">
        <f>C1737</f>
        <v>Show</v>
      </c>
      <c r="D1738" s="23" t="s">
        <v>117</v>
      </c>
      <c r="E1738" s="13"/>
      <c r="G1738" s="13"/>
    </row>
    <row r="1739" spans="2:15" hidden="1" outlineLevel="1">
      <c r="B1739" s="77" t="s">
        <v>2355</v>
      </c>
      <c r="C1739" s="7" t="str">
        <f>C1737</f>
        <v>Show</v>
      </c>
      <c r="D1739" s="23"/>
      <c r="E1739" s="13">
        <v>1.1000000000000001</v>
      </c>
      <c r="F1739" s="11" t="s">
        <v>118</v>
      </c>
      <c r="G1739" s="13"/>
    </row>
    <row r="1740" spans="2:15" hidden="1" outlineLevel="1">
      <c r="B1740" s="77" t="s">
        <v>2355</v>
      </c>
      <c r="C1740" s="7" t="str">
        <f>C1737</f>
        <v>Show</v>
      </c>
      <c r="D1740" s="23"/>
      <c r="E1740" s="13"/>
      <c r="F1740" s="70" t="s">
        <v>119</v>
      </c>
      <c r="G1740" s="18" t="s">
        <v>677</v>
      </c>
    </row>
    <row r="1741" spans="2:15" hidden="1" outlineLevel="1">
      <c r="B1741" s="77" t="s">
        <v>2355</v>
      </c>
      <c r="C1741" s="7" t="str">
        <f>C1737</f>
        <v>Show</v>
      </c>
      <c r="D1741" s="14"/>
      <c r="E1741" s="86"/>
      <c r="F1741" s="12"/>
      <c r="G1741" s="78" t="s">
        <v>121</v>
      </c>
      <c r="H1741" s="79" t="s">
        <v>2301</v>
      </c>
    </row>
    <row r="1742" spans="2:15" hidden="1" outlineLevel="1">
      <c r="B1742" s="77" t="s">
        <v>2355</v>
      </c>
      <c r="C1742" s="7" t="str">
        <f>C1737</f>
        <v>Show</v>
      </c>
      <c r="D1742" s="14"/>
      <c r="E1742" s="13">
        <v>1.2</v>
      </c>
      <c r="F1742" s="71" t="s">
        <v>131</v>
      </c>
      <c r="G1742" s="12"/>
    </row>
    <row r="1743" spans="2:15" hidden="1" outlineLevel="1">
      <c r="B1743" s="77" t="s">
        <v>2355</v>
      </c>
      <c r="C1743" s="7" t="str">
        <f>C1737</f>
        <v>Show</v>
      </c>
      <c r="D1743" s="14"/>
      <c r="E1743" s="13"/>
      <c r="F1743" s="12" t="s">
        <v>679</v>
      </c>
      <c r="G1743" s="12"/>
    </row>
    <row r="1744" spans="2:15" hidden="1" outlineLevel="1">
      <c r="B1744" s="77" t="s">
        <v>2355</v>
      </c>
      <c r="C1744" s="7" t="str">
        <f>C1737</f>
        <v>Show</v>
      </c>
      <c r="D1744" s="23" t="s">
        <v>613</v>
      </c>
      <c r="E1744" s="13"/>
      <c r="G1744" s="12"/>
    </row>
    <row r="1745" spans="2:23" hidden="1" outlineLevel="1">
      <c r="B1745" s="77" t="s">
        <v>2355</v>
      </c>
      <c r="C1745" s="7" t="str">
        <f>C1737</f>
        <v>Show</v>
      </c>
      <c r="D1745" s="23"/>
      <c r="E1745" s="12" t="s">
        <v>679</v>
      </c>
      <c r="G1745" s="12"/>
    </row>
    <row r="1746" spans="2:23" hidden="1" outlineLevel="1">
      <c r="B1746" s="77" t="s">
        <v>2355</v>
      </c>
      <c r="C1746" s="7" t="str">
        <f>C1737</f>
        <v>Show</v>
      </c>
      <c r="D1746" s="23" t="s">
        <v>187</v>
      </c>
      <c r="E1746" s="13"/>
      <c r="G1746" s="13"/>
    </row>
    <row r="1747" spans="2:23" hidden="1" outlineLevel="1">
      <c r="B1747" s="77" t="s">
        <v>2355</v>
      </c>
      <c r="C1747" s="7" t="str">
        <f>C1737</f>
        <v>Show</v>
      </c>
      <c r="D1747" s="23"/>
      <c r="E1747" s="13">
        <v>3.1</v>
      </c>
      <c r="F1747" s="11" t="s">
        <v>616</v>
      </c>
      <c r="G1747" s="13"/>
    </row>
    <row r="1748" spans="2:23" hidden="1" outlineLevel="1">
      <c r="B1748" s="77" t="s">
        <v>2355</v>
      </c>
      <c r="C1748" s="7" t="str">
        <f>C1737</f>
        <v>Show</v>
      </c>
      <c r="D1748" s="23"/>
      <c r="E1748" s="13"/>
      <c r="F1748" s="70" t="s">
        <v>119</v>
      </c>
      <c r="G1748" s="12" t="s">
        <v>3415</v>
      </c>
    </row>
    <row r="1749" spans="2:23" ht="30" hidden="1" outlineLevel="1">
      <c r="B1749" s="77" t="s">
        <v>2355</v>
      </c>
      <c r="C1749" s="7" t="str">
        <f>C1737</f>
        <v>Show</v>
      </c>
      <c r="D1749" s="14"/>
      <c r="E1749" s="13"/>
      <c r="G1749" s="78" t="s">
        <v>121</v>
      </c>
      <c r="H1749" s="75" t="s">
        <v>2354</v>
      </c>
    </row>
    <row r="1750" spans="2:23" hidden="1" outlineLevel="1">
      <c r="B1750" s="77" t="s">
        <v>2355</v>
      </c>
      <c r="C1750" s="7" t="str">
        <f>C1737</f>
        <v>Show</v>
      </c>
      <c r="D1750" s="14"/>
      <c r="E1750" s="13"/>
      <c r="G1750" s="78"/>
    </row>
    <row r="1751" spans="2:23" collapsed="1">
      <c r="B1751" s="12" t="s">
        <v>2349</v>
      </c>
      <c r="C1751" s="2" t="str">
        <f>IF('1. Criteria &amp; Spec Matrix'!C250="Show","Show","Hide")</f>
        <v>Show</v>
      </c>
      <c r="D1751" s="51" t="s">
        <v>1616</v>
      </c>
      <c r="E1751" s="52"/>
      <c r="F1751" s="52" t="s">
        <v>1597</v>
      </c>
      <c r="G1751" s="59"/>
      <c r="H1751" s="58"/>
    </row>
    <row r="1752" spans="2:23" hidden="1" outlineLevel="1">
      <c r="B1752" s="12" t="s">
        <v>2349</v>
      </c>
      <c r="C1752" s="7" t="str">
        <f>C1751</f>
        <v>Show</v>
      </c>
      <c r="D1752" s="23" t="s">
        <v>117</v>
      </c>
      <c r="E1752" s="13"/>
      <c r="G1752" s="13"/>
    </row>
    <row r="1753" spans="2:23" hidden="1" outlineLevel="1">
      <c r="B1753" s="12" t="s">
        <v>2349</v>
      </c>
      <c r="C1753" s="7" t="str">
        <f>C1751</f>
        <v>Show</v>
      </c>
      <c r="D1753" s="23"/>
      <c r="E1753" s="13">
        <v>1.1000000000000001</v>
      </c>
      <c r="F1753" s="11" t="s">
        <v>118</v>
      </c>
      <c r="G1753" s="13"/>
    </row>
    <row r="1754" spans="2:23" hidden="1" outlineLevel="1">
      <c r="B1754" s="12" t="s">
        <v>2349</v>
      </c>
      <c r="C1754" s="7" t="str">
        <f>C1751</f>
        <v>Show</v>
      </c>
      <c r="D1754" s="23"/>
      <c r="E1754" s="13"/>
      <c r="F1754" s="70" t="s">
        <v>119</v>
      </c>
      <c r="G1754" s="18" t="s">
        <v>677</v>
      </c>
      <c r="J1754" s="27"/>
      <c r="K1754" s="27"/>
      <c r="L1754" s="27"/>
      <c r="M1754" s="27"/>
      <c r="N1754" s="27"/>
      <c r="O1754" s="71"/>
      <c r="P1754" s="71"/>
      <c r="Q1754" s="71"/>
      <c r="R1754" s="27"/>
      <c r="S1754" s="27"/>
      <c r="T1754" s="27"/>
      <c r="U1754" s="71"/>
      <c r="V1754" s="71"/>
      <c r="W1754" s="27"/>
    </row>
    <row r="1755" spans="2:23" hidden="1" outlineLevel="1">
      <c r="B1755" s="12" t="s">
        <v>2349</v>
      </c>
      <c r="C1755" s="7" t="str">
        <f>C1751</f>
        <v>Show</v>
      </c>
      <c r="D1755" s="14"/>
      <c r="E1755" s="86"/>
      <c r="F1755" s="12"/>
      <c r="G1755" s="78" t="s">
        <v>121</v>
      </c>
      <c r="H1755" s="79" t="s">
        <v>2301</v>
      </c>
      <c r="J1755" s="80"/>
    </row>
    <row r="1756" spans="2:23" hidden="1" outlineLevel="1">
      <c r="B1756" s="12" t="s">
        <v>2349</v>
      </c>
      <c r="C1756" s="7" t="str">
        <f>C1751</f>
        <v>Show</v>
      </c>
      <c r="D1756" s="14"/>
      <c r="E1756" s="13">
        <v>1.2</v>
      </c>
      <c r="F1756" s="71" t="s">
        <v>131</v>
      </c>
      <c r="G1756" s="12"/>
    </row>
    <row r="1757" spans="2:23" ht="30" hidden="1" outlineLevel="1">
      <c r="B1757" s="12" t="s">
        <v>2349</v>
      </c>
      <c r="C1757" s="7" t="str">
        <f>C1751</f>
        <v>Show</v>
      </c>
      <c r="D1757" s="14"/>
      <c r="E1757" s="13"/>
      <c r="F1757" s="70" t="s">
        <v>119</v>
      </c>
      <c r="G1757" s="12"/>
      <c r="H1757" s="75" t="s">
        <v>3416</v>
      </c>
    </row>
    <row r="1758" spans="2:23" hidden="1" outlineLevel="1">
      <c r="B1758" s="12" t="s">
        <v>2349</v>
      </c>
      <c r="C1758" s="7" t="str">
        <f>C1751</f>
        <v>Show</v>
      </c>
      <c r="D1758" s="14"/>
      <c r="E1758" s="13"/>
      <c r="F1758" s="71"/>
      <c r="G1758" s="78" t="s">
        <v>121</v>
      </c>
      <c r="H1758" s="75" t="s">
        <v>2356</v>
      </c>
    </row>
    <row r="1759" spans="2:23" hidden="1" outlineLevel="1">
      <c r="B1759" s="12" t="s">
        <v>2349</v>
      </c>
      <c r="C1759" s="7" t="str">
        <f>C1751</f>
        <v>Show</v>
      </c>
      <c r="D1759" s="23" t="s">
        <v>613</v>
      </c>
      <c r="E1759" s="13"/>
      <c r="G1759" s="12"/>
    </row>
    <row r="1760" spans="2:23" hidden="1" outlineLevel="1">
      <c r="B1760" s="12" t="s">
        <v>2349</v>
      </c>
      <c r="C1760" s="7" t="str">
        <f>C1751</f>
        <v>Show</v>
      </c>
      <c r="D1760" s="23"/>
      <c r="E1760" s="12" t="s">
        <v>679</v>
      </c>
      <c r="G1760" s="12"/>
    </row>
    <row r="1761" spans="2:12" hidden="1" outlineLevel="1">
      <c r="B1761" s="12" t="s">
        <v>2349</v>
      </c>
      <c r="C1761" s="7" t="str">
        <f>C1751</f>
        <v>Show</v>
      </c>
      <c r="D1761" s="23" t="s">
        <v>187</v>
      </c>
      <c r="E1761" s="13"/>
      <c r="G1761" s="13"/>
    </row>
    <row r="1762" spans="2:12" hidden="1" outlineLevel="1">
      <c r="B1762" s="12" t="s">
        <v>2349</v>
      </c>
      <c r="C1762" s="7" t="str">
        <f>C1751</f>
        <v>Show</v>
      </c>
      <c r="D1762" s="23"/>
      <c r="E1762" s="13">
        <v>3.1</v>
      </c>
      <c r="F1762" s="11" t="s">
        <v>616</v>
      </c>
      <c r="G1762" s="13"/>
    </row>
    <row r="1763" spans="2:12" ht="30" hidden="1" outlineLevel="1">
      <c r="B1763" s="12" t="s">
        <v>2349</v>
      </c>
      <c r="C1763" s="7" t="str">
        <f>C1751</f>
        <v>Show</v>
      </c>
      <c r="D1763" s="23"/>
      <c r="E1763" s="13"/>
      <c r="F1763" s="70" t="s">
        <v>119</v>
      </c>
      <c r="H1763" s="75" t="s">
        <v>3416</v>
      </c>
    </row>
    <row r="1764" spans="2:12" ht="30" hidden="1" outlineLevel="1">
      <c r="B1764" s="12" t="s">
        <v>2349</v>
      </c>
      <c r="C1764" s="7" t="str">
        <f>C1751</f>
        <v>Show</v>
      </c>
      <c r="D1764" s="23"/>
      <c r="E1764" s="13"/>
      <c r="G1764" s="78" t="s">
        <v>121</v>
      </c>
      <c r="H1764" s="28" t="s">
        <v>2357</v>
      </c>
    </row>
    <row r="1765" spans="2:12" hidden="1" outlineLevel="1">
      <c r="B1765" s="12" t="s">
        <v>2349</v>
      </c>
      <c r="C1765" s="2" t="str">
        <f>C1751</f>
        <v>Show</v>
      </c>
      <c r="D1765" s="23"/>
      <c r="E1765" s="12"/>
      <c r="F1765" s="12"/>
      <c r="G1765" s="69"/>
    </row>
    <row r="1766" spans="2:12" collapsed="1">
      <c r="B1766" s="12" t="s">
        <v>1040</v>
      </c>
      <c r="C1766" s="2" t="str">
        <f>IF('1. Criteria &amp; Spec Matrix'!C221="Show","Show","Hide")</f>
        <v>Show</v>
      </c>
      <c r="D1766" s="51" t="s">
        <v>1617</v>
      </c>
      <c r="E1766" s="52"/>
      <c r="F1766" s="52" t="s">
        <v>1598</v>
      </c>
      <c r="G1766" s="59"/>
      <c r="H1766" s="58"/>
      <c r="K1766" s="69"/>
    </row>
    <row r="1767" spans="2:12" hidden="1" outlineLevel="1">
      <c r="B1767" s="12" t="s">
        <v>1040</v>
      </c>
      <c r="C1767" s="7" t="str">
        <f>C1766</f>
        <v>Show</v>
      </c>
      <c r="D1767" s="23" t="s">
        <v>117</v>
      </c>
      <c r="E1767" s="13"/>
      <c r="G1767" s="13"/>
    </row>
    <row r="1768" spans="2:12" hidden="1" outlineLevel="1">
      <c r="B1768" s="12" t="s">
        <v>1040</v>
      </c>
      <c r="C1768" s="7" t="str">
        <f>C1766</f>
        <v>Show</v>
      </c>
      <c r="D1768" s="23"/>
      <c r="E1768" s="13">
        <v>1.1000000000000001</v>
      </c>
      <c r="F1768" s="11" t="s">
        <v>118</v>
      </c>
      <c r="G1768" s="13"/>
      <c r="J1768" s="82"/>
      <c r="K1768" s="82"/>
      <c r="L1768" s="82"/>
    </row>
    <row r="1769" spans="2:12" hidden="1" outlineLevel="1">
      <c r="B1769" s="12" t="s">
        <v>1040</v>
      </c>
      <c r="C1769" s="7" t="str">
        <f>C1766</f>
        <v>Show</v>
      </c>
      <c r="D1769" s="23"/>
      <c r="E1769" s="13"/>
      <c r="F1769" s="70" t="s">
        <v>119</v>
      </c>
      <c r="G1769" s="18" t="s">
        <v>677</v>
      </c>
    </row>
    <row r="1770" spans="2:12" hidden="1" outlineLevel="1">
      <c r="B1770" s="12" t="s">
        <v>1040</v>
      </c>
      <c r="C1770" s="7" t="str">
        <f>C1766</f>
        <v>Show</v>
      </c>
      <c r="D1770" s="14"/>
      <c r="E1770" s="86"/>
      <c r="F1770" s="12"/>
      <c r="G1770" s="78" t="s">
        <v>121</v>
      </c>
      <c r="H1770" s="79" t="s">
        <v>2301</v>
      </c>
    </row>
    <row r="1771" spans="2:12" hidden="1" outlineLevel="1">
      <c r="B1771" s="12" t="s">
        <v>1040</v>
      </c>
      <c r="C1771" s="7" t="str">
        <f>C1766</f>
        <v>Show</v>
      </c>
      <c r="D1771" s="14"/>
      <c r="E1771" s="13">
        <v>1.2</v>
      </c>
      <c r="F1771" s="71" t="s">
        <v>131</v>
      </c>
      <c r="G1771" s="12"/>
    </row>
    <row r="1772" spans="2:12" hidden="1" outlineLevel="1">
      <c r="B1772" s="12" t="s">
        <v>1040</v>
      </c>
      <c r="C1772" s="7" t="str">
        <f>C1766</f>
        <v>Show</v>
      </c>
      <c r="D1772" s="14"/>
      <c r="E1772" s="13"/>
      <c r="F1772" s="11" t="s">
        <v>119</v>
      </c>
      <c r="G1772" s="12" t="s">
        <v>3417</v>
      </c>
    </row>
    <row r="1773" spans="2:12" hidden="1" outlineLevel="1">
      <c r="B1773" s="12" t="s">
        <v>1040</v>
      </c>
      <c r="C1773" s="7" t="str">
        <f>C1766</f>
        <v>Show</v>
      </c>
      <c r="D1773" s="14"/>
      <c r="E1773" s="13"/>
      <c r="G1773" s="78" t="s">
        <v>121</v>
      </c>
      <c r="H1773" s="75" t="s">
        <v>2358</v>
      </c>
    </row>
    <row r="1774" spans="2:12" hidden="1" outlineLevel="1">
      <c r="B1774" s="12" t="s">
        <v>1040</v>
      </c>
      <c r="C1774" s="7" t="str">
        <f>C1766</f>
        <v>Show</v>
      </c>
      <c r="D1774" s="23" t="s">
        <v>613</v>
      </c>
      <c r="E1774" s="13"/>
      <c r="G1774" s="12"/>
    </row>
    <row r="1775" spans="2:12" hidden="1" outlineLevel="1">
      <c r="B1775" s="12" t="s">
        <v>1040</v>
      </c>
      <c r="C1775" s="7" t="str">
        <f>C1766</f>
        <v>Show</v>
      </c>
      <c r="D1775" s="23"/>
      <c r="E1775" s="12" t="s">
        <v>679</v>
      </c>
      <c r="G1775" s="12"/>
    </row>
    <row r="1776" spans="2:12" hidden="1" outlineLevel="1">
      <c r="B1776" s="12" t="s">
        <v>1040</v>
      </c>
      <c r="C1776" s="7" t="str">
        <f>C1766</f>
        <v>Show</v>
      </c>
      <c r="D1776" s="23" t="s">
        <v>187</v>
      </c>
      <c r="E1776" s="13"/>
      <c r="G1776" s="13"/>
    </row>
    <row r="1777" spans="2:11" hidden="1" outlineLevel="1">
      <c r="B1777" s="12" t="s">
        <v>1040</v>
      </c>
      <c r="C1777" s="7" t="str">
        <f>C1766</f>
        <v>Show</v>
      </c>
      <c r="D1777" s="23"/>
      <c r="E1777" s="13">
        <v>3.1</v>
      </c>
      <c r="F1777" s="11" t="s">
        <v>616</v>
      </c>
      <c r="G1777" s="13"/>
    </row>
    <row r="1778" spans="2:11" hidden="1" outlineLevel="1">
      <c r="B1778" s="12" t="s">
        <v>1040</v>
      </c>
      <c r="C1778" s="2" t="str">
        <f>C1766</f>
        <v>Show</v>
      </c>
      <c r="D1778" s="23"/>
      <c r="E1778" s="12"/>
      <c r="F1778" s="11" t="s">
        <v>119</v>
      </c>
      <c r="G1778" s="12" t="s">
        <v>3417</v>
      </c>
    </row>
    <row r="1779" spans="2:11" hidden="1" outlineLevel="1">
      <c r="B1779" s="12" t="s">
        <v>1040</v>
      </c>
      <c r="C1779" s="2" t="str">
        <f>C1766</f>
        <v>Show</v>
      </c>
      <c r="D1779" s="23"/>
      <c r="E1779" s="12"/>
      <c r="G1779" s="78" t="s">
        <v>121</v>
      </c>
      <c r="H1779" s="75" t="s">
        <v>2359</v>
      </c>
    </row>
    <row r="1780" spans="2:11" hidden="1" outlineLevel="1">
      <c r="B1780" s="12" t="s">
        <v>1040</v>
      </c>
      <c r="C1780" s="2" t="str">
        <f>C1766</f>
        <v>Show</v>
      </c>
      <c r="D1780" s="23"/>
      <c r="E1780" s="12"/>
      <c r="G1780" s="12"/>
    </row>
    <row r="1781" spans="2:11" collapsed="1">
      <c r="B1781" s="12" t="s">
        <v>2361</v>
      </c>
      <c r="C1781" s="2" t="str">
        <f>IF(OR('1. Criteria &amp; Spec Matrix'!E214="",'1. Criteria &amp; Spec Matrix'!E214='3. Dropdowns'!C251,'1. Criteria &amp; Spec Matrix'!E214='3. Dropdowns'!C250),"Show","Hide")</f>
        <v>Show</v>
      </c>
      <c r="D1781" s="52" t="s">
        <v>2360</v>
      </c>
      <c r="E1781" s="36"/>
      <c r="F1781" s="52" t="s">
        <v>1599</v>
      </c>
      <c r="G1781" s="53"/>
      <c r="H1781" s="54"/>
      <c r="I1781" s="27"/>
      <c r="J1781" s="80"/>
      <c r="K1781" s="69"/>
    </row>
    <row r="1782" spans="2:11" hidden="1" outlineLevel="1">
      <c r="B1782" s="12" t="s">
        <v>2361</v>
      </c>
      <c r="C1782" s="7" t="str">
        <f>C1781</f>
        <v>Show</v>
      </c>
      <c r="D1782" s="23" t="s">
        <v>117</v>
      </c>
      <c r="E1782" s="13"/>
      <c r="G1782" s="13"/>
    </row>
    <row r="1783" spans="2:11" hidden="1" outlineLevel="1">
      <c r="B1783" s="12" t="s">
        <v>2361</v>
      </c>
      <c r="C1783" s="7" t="str">
        <f>C1781</f>
        <v>Show</v>
      </c>
      <c r="D1783" s="23"/>
      <c r="E1783" s="13">
        <v>1.1000000000000001</v>
      </c>
      <c r="F1783" s="11" t="s">
        <v>118</v>
      </c>
      <c r="G1783" s="13"/>
    </row>
    <row r="1784" spans="2:11" hidden="1" outlineLevel="1">
      <c r="B1784" s="12" t="s">
        <v>2361</v>
      </c>
      <c r="C1784" s="7" t="str">
        <f>C1781</f>
        <v>Show</v>
      </c>
      <c r="D1784" s="23"/>
      <c r="E1784" s="13"/>
      <c r="F1784" s="70" t="s">
        <v>119</v>
      </c>
      <c r="G1784" s="18" t="s">
        <v>677</v>
      </c>
    </row>
    <row r="1785" spans="2:11" hidden="1" outlineLevel="1">
      <c r="B1785" s="12" t="s">
        <v>2361</v>
      </c>
      <c r="C1785" s="7" t="str">
        <f>C1781</f>
        <v>Show</v>
      </c>
      <c r="D1785" s="14"/>
      <c r="E1785" s="86"/>
      <c r="F1785" s="12"/>
      <c r="G1785" s="78" t="s">
        <v>121</v>
      </c>
      <c r="H1785" s="79" t="s">
        <v>2301</v>
      </c>
    </row>
    <row r="1786" spans="2:11" hidden="1" outlineLevel="1">
      <c r="B1786" s="12" t="s">
        <v>2361</v>
      </c>
      <c r="C1786" s="7" t="str">
        <f>C1781</f>
        <v>Show</v>
      </c>
      <c r="D1786" s="14"/>
      <c r="E1786" s="13">
        <v>1.2</v>
      </c>
      <c r="F1786" s="71" t="s">
        <v>131</v>
      </c>
      <c r="G1786" s="12"/>
    </row>
    <row r="1787" spans="2:11" ht="30" hidden="1" outlineLevel="1">
      <c r="B1787" s="12" t="s">
        <v>2361</v>
      </c>
      <c r="C1787" s="7" t="str">
        <f>C1781</f>
        <v>Show</v>
      </c>
      <c r="D1787" s="14"/>
      <c r="E1787" s="13"/>
      <c r="F1787" s="70" t="s">
        <v>119</v>
      </c>
      <c r="H1787" s="75" t="s">
        <v>3418</v>
      </c>
    </row>
    <row r="1788" spans="2:11" hidden="1" outlineLevel="1">
      <c r="B1788" s="12" t="s">
        <v>2361</v>
      </c>
      <c r="C1788" s="7" t="str">
        <f>C1781</f>
        <v>Show</v>
      </c>
      <c r="D1788" s="14"/>
      <c r="E1788" s="13"/>
      <c r="G1788" s="78" t="s">
        <v>121</v>
      </c>
      <c r="H1788" s="69" t="s">
        <v>2323</v>
      </c>
    </row>
    <row r="1789" spans="2:11" hidden="1" outlineLevel="1">
      <c r="B1789" s="12" t="s">
        <v>2361</v>
      </c>
      <c r="C1789" s="7" t="str">
        <f>C1781</f>
        <v>Show</v>
      </c>
      <c r="D1789" s="23" t="s">
        <v>613</v>
      </c>
      <c r="E1789" s="13"/>
      <c r="G1789" s="12"/>
    </row>
    <row r="1790" spans="2:11" hidden="1" outlineLevel="1">
      <c r="B1790" s="12" t="s">
        <v>2361</v>
      </c>
      <c r="C1790" s="7" t="str">
        <f>C1781</f>
        <v>Show</v>
      </c>
      <c r="D1790" s="23"/>
      <c r="E1790" s="12" t="s">
        <v>679</v>
      </c>
      <c r="G1790" s="12"/>
    </row>
    <row r="1791" spans="2:11" hidden="1" outlineLevel="1">
      <c r="B1791" s="12" t="s">
        <v>2361</v>
      </c>
      <c r="C1791" s="7" t="str">
        <f>C1781</f>
        <v>Show</v>
      </c>
      <c r="D1791" s="23" t="s">
        <v>187</v>
      </c>
      <c r="E1791" s="13"/>
      <c r="G1791" s="13"/>
    </row>
    <row r="1792" spans="2:11" hidden="1" outlineLevel="1">
      <c r="B1792" s="12" t="s">
        <v>2361</v>
      </c>
      <c r="C1792" s="7" t="str">
        <f>C1781</f>
        <v>Show</v>
      </c>
      <c r="D1792" s="23"/>
      <c r="E1792" s="13">
        <v>3.1</v>
      </c>
      <c r="F1792" s="11" t="s">
        <v>616</v>
      </c>
      <c r="G1792" s="13"/>
    </row>
    <row r="1793" spans="2:11" ht="30" hidden="1" outlineLevel="1">
      <c r="B1793" s="12" t="s">
        <v>2361</v>
      </c>
      <c r="C1793" s="2" t="str">
        <f>C1781</f>
        <v>Show</v>
      </c>
      <c r="D1793" s="23"/>
      <c r="E1793" s="12"/>
      <c r="F1793" s="70" t="s">
        <v>119</v>
      </c>
      <c r="G1793" s="12"/>
      <c r="H1793" s="75" t="s">
        <v>3418</v>
      </c>
    </row>
    <row r="1794" spans="2:11" hidden="1" outlineLevel="1">
      <c r="B1794" s="12" t="s">
        <v>2361</v>
      </c>
      <c r="C1794" s="2" t="str">
        <f>C1781</f>
        <v>Show</v>
      </c>
      <c r="D1794" s="23"/>
      <c r="E1794" s="12"/>
      <c r="F1794" s="70"/>
      <c r="G1794" s="78" t="s">
        <v>121</v>
      </c>
      <c r="H1794" s="75" t="s">
        <v>2324</v>
      </c>
    </row>
    <row r="1795" spans="2:11" hidden="1" outlineLevel="1">
      <c r="B1795" s="12" t="s">
        <v>2361</v>
      </c>
      <c r="C1795" s="2" t="str">
        <f>C1781</f>
        <v>Show</v>
      </c>
      <c r="D1795" s="23"/>
      <c r="E1795" s="12"/>
      <c r="G1795" s="12"/>
    </row>
    <row r="1796" spans="2:11" collapsed="1">
      <c r="B1796" s="12" t="s">
        <v>2361</v>
      </c>
      <c r="C1796" s="2" t="str">
        <f>C1781</f>
        <v>Show</v>
      </c>
      <c r="D1796" s="52" t="s">
        <v>234</v>
      </c>
      <c r="E1796" s="36"/>
      <c r="F1796" s="52" t="s">
        <v>235</v>
      </c>
      <c r="G1796" s="53"/>
      <c r="H1796" s="54"/>
      <c r="I1796" s="27"/>
      <c r="J1796" s="80"/>
      <c r="K1796" s="69"/>
    </row>
    <row r="1797" spans="2:11" hidden="1" outlineLevel="1">
      <c r="B1797" s="12" t="s">
        <v>2361</v>
      </c>
      <c r="C1797" s="7" t="str">
        <f>C1781</f>
        <v>Show</v>
      </c>
      <c r="D1797" s="23" t="s">
        <v>117</v>
      </c>
      <c r="E1797" s="13"/>
      <c r="G1797" s="13"/>
    </row>
    <row r="1798" spans="2:11" hidden="1" outlineLevel="1">
      <c r="B1798" s="12" t="s">
        <v>2361</v>
      </c>
      <c r="C1798" s="7" t="str">
        <f>C1781</f>
        <v>Show</v>
      </c>
      <c r="D1798" s="23"/>
      <c r="E1798" s="13">
        <v>1.1000000000000001</v>
      </c>
      <c r="F1798" s="11" t="s">
        <v>118</v>
      </c>
      <c r="G1798" s="13"/>
    </row>
    <row r="1799" spans="2:11" hidden="1" outlineLevel="1">
      <c r="B1799" s="12" t="s">
        <v>2361</v>
      </c>
      <c r="C1799" s="7" t="str">
        <f>C1781</f>
        <v>Show</v>
      </c>
      <c r="D1799" s="23"/>
      <c r="E1799" s="13"/>
      <c r="F1799" s="70" t="s">
        <v>119</v>
      </c>
      <c r="G1799" s="18" t="s">
        <v>677</v>
      </c>
    </row>
    <row r="1800" spans="2:11" hidden="1" outlineLevel="1">
      <c r="B1800" s="12" t="s">
        <v>2361</v>
      </c>
      <c r="C1800" s="7" t="str">
        <f>C1781</f>
        <v>Show</v>
      </c>
      <c r="D1800" s="14"/>
      <c r="E1800" s="86"/>
      <c r="F1800" s="12"/>
      <c r="G1800" s="78" t="s">
        <v>121</v>
      </c>
      <c r="H1800" s="79" t="s">
        <v>2301</v>
      </c>
    </row>
    <row r="1801" spans="2:11" hidden="1" outlineLevel="1">
      <c r="B1801" s="12" t="s">
        <v>2361</v>
      </c>
      <c r="C1801" s="7" t="str">
        <f>C1781</f>
        <v>Show</v>
      </c>
      <c r="D1801" s="14"/>
      <c r="E1801" s="13">
        <v>1.2</v>
      </c>
      <c r="F1801" s="71" t="s">
        <v>131</v>
      </c>
      <c r="G1801" s="12"/>
    </row>
    <row r="1802" spans="2:11" ht="30" hidden="1" outlineLevel="1">
      <c r="B1802" s="12" t="s">
        <v>2361</v>
      </c>
      <c r="C1802" s="7" t="str">
        <f>C1781</f>
        <v>Show</v>
      </c>
      <c r="D1802" s="14"/>
      <c r="E1802" s="13"/>
      <c r="F1802" s="70" t="s">
        <v>119</v>
      </c>
      <c r="H1802" s="75" t="s">
        <v>3418</v>
      </c>
    </row>
    <row r="1803" spans="2:11" hidden="1" outlineLevel="1">
      <c r="B1803" s="12" t="s">
        <v>2361</v>
      </c>
      <c r="C1803" s="7" t="str">
        <f>C1781</f>
        <v>Show</v>
      </c>
      <c r="D1803" s="14"/>
      <c r="E1803" s="13"/>
      <c r="G1803" s="78" t="s">
        <v>121</v>
      </c>
      <c r="H1803" s="69" t="s">
        <v>2323</v>
      </c>
    </row>
    <row r="1804" spans="2:11" hidden="1" outlineLevel="1">
      <c r="B1804" s="12" t="s">
        <v>2361</v>
      </c>
      <c r="C1804" s="7" t="str">
        <f>C1781</f>
        <v>Show</v>
      </c>
      <c r="D1804" s="23" t="s">
        <v>613</v>
      </c>
      <c r="E1804" s="13"/>
      <c r="G1804" s="12"/>
    </row>
    <row r="1805" spans="2:11" hidden="1" outlineLevel="1">
      <c r="B1805" s="12" t="s">
        <v>2361</v>
      </c>
      <c r="C1805" s="7" t="str">
        <f>C1781</f>
        <v>Show</v>
      </c>
      <c r="D1805" s="23"/>
      <c r="E1805" s="12" t="s">
        <v>679</v>
      </c>
      <c r="G1805" s="12"/>
    </row>
    <row r="1806" spans="2:11" hidden="1" outlineLevel="1">
      <c r="B1806" s="12" t="s">
        <v>2361</v>
      </c>
      <c r="C1806" s="7" t="str">
        <f>C1781</f>
        <v>Show</v>
      </c>
      <c r="D1806" s="23" t="s">
        <v>187</v>
      </c>
      <c r="E1806" s="13"/>
      <c r="G1806" s="13"/>
    </row>
    <row r="1807" spans="2:11" hidden="1" outlineLevel="1">
      <c r="B1807" s="12" t="s">
        <v>2361</v>
      </c>
      <c r="C1807" s="7" t="str">
        <f>C1781</f>
        <v>Show</v>
      </c>
      <c r="D1807" s="23"/>
      <c r="E1807" s="13">
        <v>3.1</v>
      </c>
      <c r="F1807" s="11" t="s">
        <v>616</v>
      </c>
      <c r="G1807" s="13"/>
    </row>
    <row r="1808" spans="2:11" ht="30" hidden="1" outlineLevel="1">
      <c r="B1808" s="12" t="s">
        <v>2361</v>
      </c>
      <c r="C1808" s="2" t="str">
        <f>C1781</f>
        <v>Show</v>
      </c>
      <c r="D1808" s="23"/>
      <c r="E1808" s="12"/>
      <c r="F1808" s="70" t="s">
        <v>119</v>
      </c>
      <c r="G1808" s="12"/>
      <c r="H1808" s="75" t="s">
        <v>3418</v>
      </c>
    </row>
    <row r="1809" spans="2:11" hidden="1" outlineLevel="1">
      <c r="B1809" s="12" t="s">
        <v>2361</v>
      </c>
      <c r="C1809" s="2" t="str">
        <f>C1781</f>
        <v>Show</v>
      </c>
      <c r="D1809" s="23"/>
      <c r="E1809" s="12"/>
      <c r="F1809" s="70"/>
      <c r="G1809" s="78" t="s">
        <v>121</v>
      </c>
      <c r="H1809" s="75" t="s">
        <v>2324</v>
      </c>
    </row>
    <row r="1810" spans="2:11" hidden="1" outlineLevel="1">
      <c r="B1810" s="12"/>
      <c r="C1810" s="2" t="str">
        <f>C1781</f>
        <v>Show</v>
      </c>
      <c r="D1810" s="23"/>
      <c r="E1810" s="12"/>
      <c r="F1810" s="70"/>
      <c r="G1810" s="78"/>
    </row>
    <row r="1811" spans="2:11" collapsed="1">
      <c r="B1811" s="12" t="s">
        <v>2374</v>
      </c>
      <c r="C1811" s="2" t="str">
        <f>IF(AND('1. Criteria &amp; Spec Matrix'!F39="",'1. Criteria &amp; Spec Matrix'!F214="",'1. Criteria &amp; Spec Matrix'!F217="",'1. Criteria &amp; Spec Matrix'!F218="",'1. Criteria &amp; Spec Matrix'!F219="",'1. Criteria &amp; Spec Matrix'!F220=""),"Hide","Show")</f>
        <v>Show</v>
      </c>
      <c r="D1811" s="51" t="s">
        <v>236</v>
      </c>
      <c r="E1811" s="52"/>
      <c r="F1811" s="52" t="s">
        <v>1600</v>
      </c>
      <c r="G1811" s="59"/>
      <c r="H1811" s="58"/>
      <c r="I1811" s="27"/>
      <c r="J1811" s="80"/>
      <c r="K1811" s="69"/>
    </row>
    <row r="1812" spans="2:11" hidden="1" outlineLevel="1">
      <c r="B1812" s="12" t="s">
        <v>2374</v>
      </c>
      <c r="C1812" s="7" t="str">
        <f>C1811</f>
        <v>Show</v>
      </c>
      <c r="D1812" s="23" t="s">
        <v>117</v>
      </c>
      <c r="E1812" s="13"/>
      <c r="G1812" s="13"/>
    </row>
    <row r="1813" spans="2:11" hidden="1" outlineLevel="1">
      <c r="B1813" s="12" t="s">
        <v>2374</v>
      </c>
      <c r="C1813" s="7" t="str">
        <f>C1811</f>
        <v>Show</v>
      </c>
      <c r="D1813" s="23"/>
      <c r="E1813" s="13">
        <v>1.1000000000000001</v>
      </c>
      <c r="F1813" s="11" t="s">
        <v>118</v>
      </c>
      <c r="G1813" s="13"/>
    </row>
    <row r="1814" spans="2:11" hidden="1" outlineLevel="1">
      <c r="B1814" s="12" t="s">
        <v>2374</v>
      </c>
      <c r="C1814" s="7" t="str">
        <f>C1811</f>
        <v>Show</v>
      </c>
      <c r="D1814" s="23"/>
      <c r="E1814" s="13"/>
      <c r="F1814" s="70" t="s">
        <v>119</v>
      </c>
      <c r="G1814" s="71" t="s">
        <v>677</v>
      </c>
    </row>
    <row r="1815" spans="2:11" hidden="1" outlineLevel="1">
      <c r="B1815" s="12" t="s">
        <v>2374</v>
      </c>
      <c r="C1815" s="7" t="str">
        <f>C1811</f>
        <v>Show</v>
      </c>
      <c r="D1815" s="14"/>
      <c r="E1815" s="86"/>
      <c r="F1815" s="12"/>
      <c r="G1815" s="78" t="s">
        <v>121</v>
      </c>
      <c r="H1815" s="75" t="s">
        <v>678</v>
      </c>
    </row>
    <row r="1816" spans="2:11" hidden="1" outlineLevel="1">
      <c r="B1816" s="12" t="s">
        <v>2375</v>
      </c>
      <c r="C1816" s="7" t="str">
        <f>IF(AND('1. Criteria &amp; Spec Matrix'!F214="",'1. Criteria &amp; Spec Matrix'!F217="",'1. Criteria &amp; Spec Matrix'!F218="",'1. Criteria &amp; Spec Matrix'!F219="",'1. Criteria &amp; Spec Matrix'!F220=""),"Hide","Show")</f>
        <v>Show</v>
      </c>
      <c r="D1816" s="14"/>
      <c r="E1816" s="13">
        <v>1.2</v>
      </c>
      <c r="F1816" s="71" t="s">
        <v>131</v>
      </c>
      <c r="G1816" s="12"/>
    </row>
    <row r="1817" spans="2:11" ht="30" hidden="1" outlineLevel="1">
      <c r="B1817" s="77" t="s">
        <v>2379</v>
      </c>
      <c r="C1817" s="7" t="str">
        <f>IF('1. Criteria &amp; Spec Matrix'!F214="","Hide","Show")</f>
        <v>Show</v>
      </c>
      <c r="D1817" s="14"/>
      <c r="E1817" s="13"/>
      <c r="F1817" s="70" t="s">
        <v>119</v>
      </c>
      <c r="H1817" s="75" t="s">
        <v>3418</v>
      </c>
    </row>
    <row r="1818" spans="2:11" ht="30" hidden="1" outlineLevel="1">
      <c r="B1818" s="77" t="s">
        <v>2379</v>
      </c>
      <c r="C1818" s="7" t="str">
        <f>C1817</f>
        <v>Show</v>
      </c>
      <c r="D1818" s="14"/>
      <c r="E1818" s="13"/>
      <c r="F1818" s="70"/>
      <c r="G1818" s="78" t="s">
        <v>121</v>
      </c>
      <c r="H1818" s="75" t="s">
        <v>2362</v>
      </c>
    </row>
    <row r="1819" spans="2:11" ht="30" hidden="1" outlineLevel="1">
      <c r="B1819" s="77" t="s">
        <v>2380</v>
      </c>
      <c r="C1819" s="7" t="str">
        <f>IF('1. Criteria &amp; Spec Matrix'!F217="","Hide","Show")</f>
        <v>Show</v>
      </c>
      <c r="D1819" s="14"/>
      <c r="E1819" s="13"/>
      <c r="F1819" s="70" t="s">
        <v>125</v>
      </c>
      <c r="H1819" s="75" t="s">
        <v>3419</v>
      </c>
    </row>
    <row r="1820" spans="2:11" ht="30" hidden="1" outlineLevel="1">
      <c r="B1820" s="77" t="s">
        <v>2380</v>
      </c>
      <c r="C1820" s="7" t="str">
        <f>C1819</f>
        <v>Show</v>
      </c>
      <c r="D1820" s="14"/>
      <c r="E1820" s="13"/>
      <c r="F1820" s="70"/>
      <c r="G1820" s="78" t="s">
        <v>121</v>
      </c>
      <c r="H1820" s="75" t="s">
        <v>2363</v>
      </c>
    </row>
    <row r="1821" spans="2:11" ht="30" hidden="1" outlineLevel="1">
      <c r="B1821" s="77" t="s">
        <v>2381</v>
      </c>
      <c r="C1821" s="7" t="str">
        <f>C1829</f>
        <v>Show</v>
      </c>
      <c r="D1821" s="14"/>
      <c r="E1821" s="13"/>
      <c r="F1821" s="70" t="s">
        <v>158</v>
      </c>
      <c r="H1821" s="75" t="s">
        <v>3420</v>
      </c>
    </row>
    <row r="1822" spans="2:11" ht="30" hidden="1" outlineLevel="1">
      <c r="B1822" s="77" t="s">
        <v>2381</v>
      </c>
      <c r="C1822" s="7" t="str">
        <f>C1829</f>
        <v>Show</v>
      </c>
      <c r="D1822" s="14"/>
      <c r="E1822" s="13"/>
      <c r="F1822" s="70"/>
      <c r="G1822" s="78" t="s">
        <v>121</v>
      </c>
      <c r="H1822" s="75" t="s">
        <v>2364</v>
      </c>
    </row>
    <row r="1823" spans="2:11" ht="30" hidden="1" outlineLevel="1">
      <c r="B1823" s="77" t="s">
        <v>2382</v>
      </c>
      <c r="C1823" s="7" t="str">
        <f>IF('1. Criteria &amp; Spec Matrix'!F219="","Hide","Show")</f>
        <v>Show</v>
      </c>
      <c r="D1823" s="14"/>
      <c r="E1823" s="13"/>
      <c r="F1823" s="70" t="s">
        <v>159</v>
      </c>
      <c r="G1823" s="12"/>
      <c r="H1823" s="75" t="s">
        <v>3421</v>
      </c>
    </row>
    <row r="1824" spans="2:11" ht="30" hidden="1" outlineLevel="1">
      <c r="B1824" s="77" t="s">
        <v>2382</v>
      </c>
      <c r="C1824" s="7" t="str">
        <f>C1823</f>
        <v>Show</v>
      </c>
      <c r="D1824" s="14"/>
      <c r="E1824" s="13"/>
      <c r="F1824" s="70"/>
      <c r="G1824" s="78" t="s">
        <v>121</v>
      </c>
      <c r="H1824" s="75" t="s">
        <v>2365</v>
      </c>
    </row>
    <row r="1825" spans="2:8" ht="30" hidden="1" outlineLevel="1">
      <c r="B1825" s="77" t="s">
        <v>2383</v>
      </c>
      <c r="C1825" s="7" t="str">
        <f>C1831</f>
        <v>Show</v>
      </c>
      <c r="D1825" s="14"/>
      <c r="E1825" s="13"/>
      <c r="F1825" s="70" t="s">
        <v>621</v>
      </c>
      <c r="G1825" s="12"/>
      <c r="H1825" s="75" t="s">
        <v>3422</v>
      </c>
    </row>
    <row r="1826" spans="2:8" ht="30" hidden="1" outlineLevel="1">
      <c r="B1826" s="77" t="s">
        <v>2383</v>
      </c>
      <c r="C1826" s="7" t="str">
        <f>C1831</f>
        <v>Show</v>
      </c>
      <c r="D1826" s="14"/>
      <c r="E1826" s="13"/>
      <c r="F1826" s="70"/>
      <c r="G1826" s="78" t="s">
        <v>121</v>
      </c>
      <c r="H1826" s="75" t="s">
        <v>2366</v>
      </c>
    </row>
    <row r="1827" spans="2:8" hidden="1" outlineLevel="1">
      <c r="B1827" s="12" t="s">
        <v>2374</v>
      </c>
      <c r="C1827" s="7" t="str">
        <f>C1811</f>
        <v>Show</v>
      </c>
      <c r="D1827" s="23" t="s">
        <v>613</v>
      </c>
      <c r="E1827" s="13"/>
      <c r="F1827" s="70"/>
      <c r="G1827" s="12"/>
    </row>
    <row r="1828" spans="2:8" hidden="1" outlineLevel="1">
      <c r="B1828" s="77" t="s">
        <v>2376</v>
      </c>
      <c r="C1828" s="7" t="str">
        <f>IF(OR('1. Criteria &amp; Spec Matrix'!E218="",'1. Criteria &amp; Spec Matrix'!E220="",'1. Criteria &amp; Spec Matrix'!E218='3. Dropdowns'!C250,'1. Criteria &amp; Spec Matrix'!E220='3. Dropdowns'!C250,'1. Criteria &amp; Spec Matrix'!E218='3. Dropdowns'!C251,'1. Criteria &amp; Spec Matrix'!E220='3. Dropdowns'!C251),"Show","Hide")</f>
        <v>Show</v>
      </c>
      <c r="D1828" s="23"/>
      <c r="E1828" s="12" t="str">
        <f>IF(C1828="Show","2.1 Product Requirements","(no EGC requirements)")</f>
        <v>2.1 Product Requirements</v>
      </c>
      <c r="G1828" s="12"/>
    </row>
    <row r="1829" spans="2:8" ht="30" hidden="1" outlineLevel="1">
      <c r="B1829" s="77" t="s">
        <v>2377</v>
      </c>
      <c r="C1829" s="7" t="str">
        <f>IF(OR('1. Criteria &amp; Spec Matrix'!E218="",'1. Criteria &amp; Spec Matrix'!E218='3. Dropdowns'!C250,'1. Criteria &amp; Spec Matrix'!E218='3. Dropdowns'!C251),"Show","Hide")</f>
        <v>Show</v>
      </c>
      <c r="D1829" s="14"/>
      <c r="E1829" s="86"/>
      <c r="F1829" s="70" t="s">
        <v>119</v>
      </c>
      <c r="H1829" s="75" t="s">
        <v>3423</v>
      </c>
    </row>
    <row r="1830" spans="2:8" ht="30" hidden="1" outlineLevel="1">
      <c r="B1830" s="77" t="s">
        <v>2377</v>
      </c>
      <c r="C1830" s="7" t="str">
        <f>C1829</f>
        <v>Show</v>
      </c>
      <c r="D1830" s="14"/>
      <c r="E1830" s="86"/>
      <c r="F1830" s="70"/>
      <c r="G1830" s="78" t="s">
        <v>121</v>
      </c>
      <c r="H1830" s="75" t="s">
        <v>2367</v>
      </c>
    </row>
    <row r="1831" spans="2:8" ht="30" hidden="1" outlineLevel="1">
      <c r="B1831" s="77" t="s">
        <v>2378</v>
      </c>
      <c r="C1831" s="7" t="str">
        <f>IF(OR('1. Criteria &amp; Spec Matrix'!E220="",'1. Criteria &amp; Spec Matrix'!E220='3. Dropdowns'!C250,'1. Criteria &amp; Spec Matrix'!E220='3. Dropdowns'!C251),"Show","Hide")</f>
        <v>Show</v>
      </c>
      <c r="D1831" s="14"/>
      <c r="E1831" s="86"/>
      <c r="F1831" s="70" t="str">
        <f>IF(C1829="Show","B.","A.")</f>
        <v>B.</v>
      </c>
      <c r="G1831" s="12"/>
      <c r="H1831" s="75" t="s">
        <v>3424</v>
      </c>
    </row>
    <row r="1832" spans="2:8" ht="30" hidden="1" outlineLevel="1">
      <c r="B1832" s="77" t="s">
        <v>2378</v>
      </c>
      <c r="C1832" s="7" t="str">
        <f>C1831</f>
        <v>Show</v>
      </c>
      <c r="D1832" s="14"/>
      <c r="E1832" s="86"/>
      <c r="F1832" s="70"/>
      <c r="G1832" s="78" t="s">
        <v>121</v>
      </c>
      <c r="H1832" s="75" t="s">
        <v>2939</v>
      </c>
    </row>
    <row r="1833" spans="2:8" hidden="1" outlineLevel="1">
      <c r="B1833" s="12" t="s">
        <v>2374</v>
      </c>
      <c r="C1833" s="7" t="str">
        <f>C1811</f>
        <v>Show</v>
      </c>
      <c r="D1833" s="23" t="s">
        <v>187</v>
      </c>
      <c r="E1833" s="13"/>
      <c r="G1833" s="13"/>
    </row>
    <row r="1834" spans="2:8" hidden="1" outlineLevel="1">
      <c r="B1834" s="12" t="s">
        <v>2374</v>
      </c>
      <c r="C1834" s="7" t="str">
        <f>C1811</f>
        <v>Show</v>
      </c>
      <c r="D1834" s="23"/>
      <c r="E1834" s="13">
        <v>3.1</v>
      </c>
      <c r="F1834" s="11" t="s">
        <v>616</v>
      </c>
      <c r="G1834" s="13"/>
    </row>
    <row r="1835" spans="2:8" hidden="1" outlineLevel="1">
      <c r="B1835" s="77" t="s">
        <v>2373</v>
      </c>
      <c r="C1835" s="7" t="str">
        <f>IF('1. Criteria &amp; Spec Matrix'!F39="","Hide","Show")</f>
        <v>Show</v>
      </c>
      <c r="D1835" s="14"/>
      <c r="E1835" s="13"/>
      <c r="F1835" s="70" t="s">
        <v>119</v>
      </c>
      <c r="H1835" s="75" t="s">
        <v>3425</v>
      </c>
    </row>
    <row r="1836" spans="2:8" ht="30" hidden="1" outlineLevel="1">
      <c r="B1836" s="77" t="s">
        <v>2373</v>
      </c>
      <c r="C1836" s="7" t="str">
        <f>C1835</f>
        <v>Show</v>
      </c>
      <c r="D1836" s="14"/>
      <c r="E1836" s="13"/>
      <c r="F1836" s="70"/>
      <c r="G1836" s="78" t="s">
        <v>121</v>
      </c>
      <c r="H1836" s="75" t="s">
        <v>2354</v>
      </c>
    </row>
    <row r="1837" spans="2:8" ht="30" hidden="1" outlineLevel="1">
      <c r="B1837" s="77" t="s">
        <v>2379</v>
      </c>
      <c r="C1837" s="7" t="str">
        <f>C1817</f>
        <v>Show</v>
      </c>
      <c r="D1837" s="14"/>
      <c r="E1837" s="13"/>
      <c r="F1837" s="70" t="s">
        <v>125</v>
      </c>
      <c r="H1837" s="75" t="s">
        <v>3418</v>
      </c>
    </row>
    <row r="1838" spans="2:8" ht="30" hidden="1" outlineLevel="1">
      <c r="B1838" s="77" t="s">
        <v>2379</v>
      </c>
      <c r="C1838" s="7" t="str">
        <f>C1817</f>
        <v>Show</v>
      </c>
      <c r="D1838" s="14"/>
      <c r="E1838" s="13"/>
      <c r="F1838" s="70"/>
      <c r="G1838" s="78" t="s">
        <v>121</v>
      </c>
      <c r="H1838" s="75" t="s">
        <v>2368</v>
      </c>
    </row>
    <row r="1839" spans="2:8" ht="30" hidden="1" outlineLevel="1">
      <c r="B1839" s="77" t="s">
        <v>2380</v>
      </c>
      <c r="C1839" s="7" t="str">
        <f>C1819</f>
        <v>Show</v>
      </c>
      <c r="D1839" s="14"/>
      <c r="E1839" s="13"/>
      <c r="F1839" s="70" t="s">
        <v>158</v>
      </c>
      <c r="H1839" s="75" t="s">
        <v>3419</v>
      </c>
    </row>
    <row r="1840" spans="2:8" ht="30" hidden="1" outlineLevel="1">
      <c r="B1840" s="77" t="s">
        <v>2380</v>
      </c>
      <c r="C1840" s="7" t="str">
        <f>C1819</f>
        <v>Show</v>
      </c>
      <c r="D1840" s="14"/>
      <c r="E1840" s="13"/>
      <c r="F1840" s="70"/>
      <c r="G1840" s="78" t="s">
        <v>121</v>
      </c>
      <c r="H1840" s="75" t="s">
        <v>2369</v>
      </c>
    </row>
    <row r="1841" spans="2:12" ht="30" hidden="1" outlineLevel="1">
      <c r="B1841" s="77" t="s">
        <v>2381</v>
      </c>
      <c r="C1841" s="7" t="str">
        <f>C1829</f>
        <v>Show</v>
      </c>
      <c r="D1841" s="14"/>
      <c r="E1841" s="13"/>
      <c r="F1841" s="70" t="s">
        <v>159</v>
      </c>
      <c r="G1841" s="12"/>
      <c r="H1841" s="75" t="s">
        <v>3420</v>
      </c>
    </row>
    <row r="1842" spans="2:12" ht="30" hidden="1" outlineLevel="1">
      <c r="B1842" s="77" t="s">
        <v>2381</v>
      </c>
      <c r="C1842" s="7" t="str">
        <f>C1829</f>
        <v>Show</v>
      </c>
      <c r="D1842" s="14"/>
      <c r="E1842" s="13"/>
      <c r="F1842" s="70"/>
      <c r="G1842" s="78" t="s">
        <v>121</v>
      </c>
      <c r="H1842" s="75" t="s">
        <v>2370</v>
      </c>
    </row>
    <row r="1843" spans="2:12" ht="30" hidden="1" outlineLevel="1">
      <c r="B1843" s="77" t="s">
        <v>2382</v>
      </c>
      <c r="C1843" s="7" t="str">
        <f>C1823</f>
        <v>Show</v>
      </c>
      <c r="D1843" s="14"/>
      <c r="E1843" s="13"/>
      <c r="F1843" s="70" t="s">
        <v>621</v>
      </c>
      <c r="G1843" s="12"/>
      <c r="H1843" s="75" t="s">
        <v>3421</v>
      </c>
    </row>
    <row r="1844" spans="2:12" ht="30" hidden="1" outlineLevel="1">
      <c r="B1844" s="77" t="s">
        <v>2382</v>
      </c>
      <c r="C1844" s="7" t="str">
        <f>C1823</f>
        <v>Show</v>
      </c>
      <c r="D1844" s="14"/>
      <c r="E1844" s="13"/>
      <c r="F1844" s="70"/>
      <c r="G1844" s="78" t="s">
        <v>121</v>
      </c>
      <c r="H1844" s="75" t="s">
        <v>2371</v>
      </c>
    </row>
    <row r="1845" spans="2:12" ht="30" hidden="1" outlineLevel="1">
      <c r="B1845" s="77" t="s">
        <v>2383</v>
      </c>
      <c r="C1845" s="2" t="str">
        <f>C1831</f>
        <v>Show</v>
      </c>
      <c r="D1845" s="23"/>
      <c r="E1845" s="12"/>
      <c r="F1845" s="70" t="s">
        <v>622</v>
      </c>
      <c r="G1845" s="70"/>
      <c r="H1845" s="75" t="s">
        <v>3422</v>
      </c>
    </row>
    <row r="1846" spans="2:12" ht="30" hidden="1" outlineLevel="1">
      <c r="B1846" s="77" t="s">
        <v>2383</v>
      </c>
      <c r="C1846" s="2" t="str">
        <f>C1831</f>
        <v>Show</v>
      </c>
      <c r="D1846" s="23"/>
      <c r="E1846" s="12"/>
      <c r="F1846" s="70"/>
      <c r="G1846" s="78" t="s">
        <v>121</v>
      </c>
      <c r="H1846" s="75" t="s">
        <v>2372</v>
      </c>
    </row>
    <row r="1847" spans="2:12" hidden="1" outlineLevel="1">
      <c r="B1847" s="12" t="s">
        <v>2374</v>
      </c>
      <c r="C1847" s="2" t="str">
        <f>C1811</f>
        <v>Show</v>
      </c>
      <c r="D1847" s="23"/>
      <c r="E1847" s="12"/>
      <c r="F1847" s="70"/>
      <c r="G1847" s="78"/>
    </row>
    <row r="1848" spans="2:12" collapsed="1">
      <c r="B1848" s="12" t="s">
        <v>1040</v>
      </c>
      <c r="C1848" s="2" t="str">
        <f>C1766</f>
        <v>Show</v>
      </c>
      <c r="D1848" s="55" t="s">
        <v>237</v>
      </c>
      <c r="E1848" s="55"/>
      <c r="F1848" s="57" t="s">
        <v>238</v>
      </c>
      <c r="G1848" s="59"/>
      <c r="H1848" s="58"/>
      <c r="I1848" s="27"/>
      <c r="J1848" s="80"/>
      <c r="K1848" s="69"/>
    </row>
    <row r="1849" spans="2:12" hidden="1" outlineLevel="1">
      <c r="B1849" s="12" t="s">
        <v>1040</v>
      </c>
      <c r="C1849" s="2" t="str">
        <f>C1766</f>
        <v>Show</v>
      </c>
      <c r="D1849" s="23" t="s">
        <v>117</v>
      </c>
      <c r="E1849" s="83"/>
      <c r="F1849" s="81"/>
      <c r="G1849" s="84"/>
      <c r="H1849" s="85"/>
      <c r="I1849" s="27"/>
      <c r="J1849" s="80"/>
      <c r="K1849" s="69"/>
    </row>
    <row r="1850" spans="2:12" hidden="1" outlineLevel="1">
      <c r="B1850" s="12" t="s">
        <v>1040</v>
      </c>
      <c r="C1850" s="7" t="str">
        <f>C1766</f>
        <v>Show</v>
      </c>
      <c r="D1850" s="23"/>
      <c r="E1850" s="13">
        <v>1.1000000000000001</v>
      </c>
      <c r="F1850" s="11" t="s">
        <v>118</v>
      </c>
      <c r="G1850" s="13"/>
      <c r="J1850" s="82"/>
      <c r="K1850" s="82"/>
      <c r="L1850" s="82"/>
    </row>
    <row r="1851" spans="2:12" hidden="1" outlineLevel="1">
      <c r="B1851" s="12" t="s">
        <v>1040</v>
      </c>
      <c r="C1851" s="7" t="str">
        <f>C1766</f>
        <v>Show</v>
      </c>
      <c r="D1851" s="23"/>
      <c r="E1851" s="13"/>
      <c r="F1851" s="70" t="s">
        <v>119</v>
      </c>
      <c r="G1851" s="18" t="s">
        <v>677</v>
      </c>
    </row>
    <row r="1852" spans="2:12" hidden="1" outlineLevel="1">
      <c r="B1852" s="12" t="s">
        <v>1040</v>
      </c>
      <c r="C1852" s="7" t="str">
        <f>C1766</f>
        <v>Show</v>
      </c>
      <c r="D1852" s="14"/>
      <c r="E1852" s="86"/>
      <c r="F1852" s="12"/>
      <c r="G1852" s="78" t="s">
        <v>121</v>
      </c>
      <c r="H1852" s="79" t="s">
        <v>2301</v>
      </c>
    </row>
    <row r="1853" spans="2:12" hidden="1" outlineLevel="1">
      <c r="B1853" s="12" t="s">
        <v>1040</v>
      </c>
      <c r="C1853" s="7" t="str">
        <f>C1766</f>
        <v>Show</v>
      </c>
      <c r="D1853" s="14"/>
      <c r="E1853" s="86"/>
      <c r="F1853" s="12"/>
      <c r="G1853" s="78" t="s">
        <v>123</v>
      </c>
      <c r="H1853" s="79" t="s">
        <v>2384</v>
      </c>
    </row>
    <row r="1854" spans="2:12" hidden="1" outlineLevel="1">
      <c r="B1854" s="12" t="s">
        <v>1040</v>
      </c>
      <c r="C1854" s="7" t="str">
        <f>C1766</f>
        <v>Show</v>
      </c>
      <c r="D1854" s="14"/>
      <c r="E1854" s="86"/>
      <c r="F1854" s="12"/>
      <c r="G1854" s="78" t="s">
        <v>126</v>
      </c>
      <c r="H1854" s="79" t="s">
        <v>2387</v>
      </c>
    </row>
    <row r="1855" spans="2:12" hidden="1" outlineLevel="1">
      <c r="B1855" s="12" t="s">
        <v>1040</v>
      </c>
      <c r="C1855" s="7" t="str">
        <f>C1766</f>
        <v>Show</v>
      </c>
      <c r="D1855" s="14"/>
      <c r="E1855" s="86"/>
      <c r="F1855" s="12"/>
      <c r="G1855" s="78" t="s">
        <v>127</v>
      </c>
      <c r="H1855" s="79" t="s">
        <v>2386</v>
      </c>
    </row>
    <row r="1856" spans="2:12" hidden="1" outlineLevel="1">
      <c r="B1856" s="12" t="s">
        <v>1040</v>
      </c>
      <c r="C1856" s="7" t="str">
        <f>C1766</f>
        <v>Show</v>
      </c>
      <c r="D1856" s="14"/>
      <c r="E1856" s="13">
        <v>1.2</v>
      </c>
      <c r="F1856" s="71" t="s">
        <v>131</v>
      </c>
      <c r="G1856" s="12"/>
    </row>
    <row r="1857" spans="2:11" hidden="1" outlineLevel="1">
      <c r="B1857" s="12" t="s">
        <v>1040</v>
      </c>
      <c r="C1857" s="7" t="str">
        <f>C1766</f>
        <v>Show</v>
      </c>
      <c r="D1857" s="14"/>
      <c r="E1857" s="13"/>
      <c r="F1857" s="11" t="s">
        <v>119</v>
      </c>
      <c r="G1857" s="12" t="s">
        <v>3417</v>
      </c>
    </row>
    <row r="1858" spans="2:11" hidden="1" outlineLevel="1">
      <c r="B1858" s="12" t="s">
        <v>1040</v>
      </c>
      <c r="C1858" s="7" t="str">
        <f>C1766</f>
        <v>Show</v>
      </c>
      <c r="D1858" s="14"/>
      <c r="E1858" s="13"/>
      <c r="G1858" s="78" t="s">
        <v>121</v>
      </c>
      <c r="H1858" s="75" t="s">
        <v>2358</v>
      </c>
    </row>
    <row r="1859" spans="2:11" hidden="1" outlineLevel="1">
      <c r="B1859" s="12" t="s">
        <v>1040</v>
      </c>
      <c r="C1859" s="7" t="str">
        <f>C1766</f>
        <v>Show</v>
      </c>
      <c r="D1859" s="23" t="s">
        <v>613</v>
      </c>
      <c r="E1859" s="13"/>
      <c r="G1859" s="12"/>
    </row>
    <row r="1860" spans="2:11" hidden="1" outlineLevel="1">
      <c r="B1860" s="12" t="s">
        <v>1040</v>
      </c>
      <c r="C1860" s="7" t="str">
        <f>C1766</f>
        <v>Show</v>
      </c>
      <c r="D1860" s="23"/>
      <c r="E1860" s="12" t="s">
        <v>679</v>
      </c>
      <c r="G1860" s="12"/>
    </row>
    <row r="1861" spans="2:11" hidden="1" outlineLevel="1">
      <c r="B1861" s="12" t="s">
        <v>1040</v>
      </c>
      <c r="C1861" s="7" t="str">
        <f>C1766</f>
        <v>Show</v>
      </c>
      <c r="D1861" s="23" t="s">
        <v>187</v>
      </c>
      <c r="E1861" s="13"/>
      <c r="G1861" s="13"/>
    </row>
    <row r="1862" spans="2:11" hidden="1" outlineLevel="1">
      <c r="B1862" s="12" t="s">
        <v>1040</v>
      </c>
      <c r="C1862" s="7" t="str">
        <f>C1766</f>
        <v>Show</v>
      </c>
      <c r="D1862" s="23"/>
      <c r="E1862" s="13">
        <v>3.1</v>
      </c>
      <c r="F1862" s="11" t="s">
        <v>616</v>
      </c>
      <c r="G1862" s="13"/>
    </row>
    <row r="1863" spans="2:11" hidden="1" outlineLevel="1">
      <c r="B1863" s="12" t="s">
        <v>1040</v>
      </c>
      <c r="C1863" s="2" t="str">
        <f>C1766</f>
        <v>Show</v>
      </c>
      <c r="D1863" s="23"/>
      <c r="E1863" s="12"/>
      <c r="F1863" s="11" t="s">
        <v>119</v>
      </c>
      <c r="G1863" s="12" t="s">
        <v>3417</v>
      </c>
    </row>
    <row r="1864" spans="2:11" hidden="1" outlineLevel="1">
      <c r="B1864" s="12" t="s">
        <v>1040</v>
      </c>
      <c r="C1864" s="2" t="str">
        <f>C1766</f>
        <v>Show</v>
      </c>
      <c r="D1864" s="23"/>
      <c r="E1864" s="12"/>
      <c r="G1864" s="78" t="s">
        <v>121</v>
      </c>
      <c r="H1864" s="75" t="s">
        <v>2359</v>
      </c>
    </row>
    <row r="1865" spans="2:11" hidden="1" outlineLevel="1">
      <c r="B1865" s="12" t="s">
        <v>1040</v>
      </c>
      <c r="C1865" s="2" t="str">
        <f>C1766</f>
        <v>Show</v>
      </c>
      <c r="D1865" s="23"/>
      <c r="E1865" s="12"/>
      <c r="G1865" s="12"/>
    </row>
    <row r="1866" spans="2:11" collapsed="1">
      <c r="B1866" s="12" t="s">
        <v>1040</v>
      </c>
      <c r="C1866" s="2" t="str">
        <f>C1848</f>
        <v>Show</v>
      </c>
      <c r="D1866" s="55" t="s">
        <v>1619</v>
      </c>
      <c r="E1866" s="55"/>
      <c r="F1866" s="57" t="s">
        <v>1601</v>
      </c>
      <c r="G1866" s="59"/>
      <c r="H1866" s="58"/>
      <c r="I1866" s="27"/>
      <c r="J1866" s="80"/>
      <c r="K1866" s="69"/>
    </row>
    <row r="1867" spans="2:11" hidden="1" outlineLevel="1">
      <c r="B1867" s="12" t="s">
        <v>1040</v>
      </c>
      <c r="C1867" s="77" t="str">
        <f>C1848</f>
        <v>Show</v>
      </c>
      <c r="D1867" s="23" t="s">
        <v>117</v>
      </c>
      <c r="E1867" s="83"/>
      <c r="F1867" s="81"/>
      <c r="G1867" s="84"/>
      <c r="H1867" s="85"/>
    </row>
    <row r="1868" spans="2:11" hidden="1" outlineLevel="1">
      <c r="B1868" s="12" t="s">
        <v>1040</v>
      </c>
      <c r="C1868" s="77" t="str">
        <f>C1848</f>
        <v>Show</v>
      </c>
      <c r="D1868" s="23"/>
      <c r="E1868" s="13">
        <v>1.1000000000000001</v>
      </c>
      <c r="F1868" s="11" t="s">
        <v>118</v>
      </c>
      <c r="G1868" s="13"/>
    </row>
    <row r="1869" spans="2:11" hidden="1" outlineLevel="1">
      <c r="B1869" s="12" t="s">
        <v>1040</v>
      </c>
      <c r="C1869" s="77" t="str">
        <f>C1848</f>
        <v>Show</v>
      </c>
      <c r="D1869" s="23"/>
      <c r="E1869" s="13"/>
      <c r="F1869" s="70" t="s">
        <v>119</v>
      </c>
      <c r="G1869" s="18" t="s">
        <v>677</v>
      </c>
    </row>
    <row r="1870" spans="2:11" hidden="1" outlineLevel="1">
      <c r="B1870" s="12" t="s">
        <v>1040</v>
      </c>
      <c r="C1870" s="77" t="str">
        <f>C1848</f>
        <v>Show</v>
      </c>
      <c r="D1870" s="14"/>
      <c r="E1870" s="86"/>
      <c r="F1870" s="12"/>
      <c r="G1870" s="78" t="s">
        <v>121</v>
      </c>
      <c r="H1870" s="79" t="s">
        <v>2301</v>
      </c>
    </row>
    <row r="1871" spans="2:11" hidden="1" outlineLevel="1">
      <c r="B1871" s="12" t="s">
        <v>1040</v>
      </c>
      <c r="C1871" s="77" t="str">
        <f>C1848</f>
        <v>Show</v>
      </c>
      <c r="D1871" s="14"/>
      <c r="E1871" s="86"/>
      <c r="F1871" s="12"/>
      <c r="G1871" s="78" t="s">
        <v>123</v>
      </c>
      <c r="H1871" s="79" t="s">
        <v>2384</v>
      </c>
    </row>
    <row r="1872" spans="2:11" hidden="1" outlineLevel="1">
      <c r="B1872" s="12" t="s">
        <v>1040</v>
      </c>
      <c r="C1872" s="77" t="str">
        <f>C1848</f>
        <v>Show</v>
      </c>
      <c r="D1872" s="14"/>
      <c r="E1872" s="86"/>
      <c r="F1872" s="12"/>
      <c r="G1872" s="78" t="s">
        <v>126</v>
      </c>
      <c r="H1872" s="79" t="s">
        <v>2385</v>
      </c>
    </row>
    <row r="1873" spans="2:11" hidden="1" outlineLevel="1">
      <c r="B1873" s="12" t="s">
        <v>1040</v>
      </c>
      <c r="C1873" s="77" t="str">
        <f>C1848</f>
        <v>Show</v>
      </c>
      <c r="D1873" s="14"/>
      <c r="E1873" s="86"/>
      <c r="F1873" s="12"/>
      <c r="G1873" s="78" t="s">
        <v>127</v>
      </c>
      <c r="H1873" s="79" t="s">
        <v>2386</v>
      </c>
    </row>
    <row r="1874" spans="2:11" hidden="1" outlineLevel="1">
      <c r="B1874" s="12" t="s">
        <v>1040</v>
      </c>
      <c r="C1874" s="77" t="str">
        <f>C1848</f>
        <v>Show</v>
      </c>
      <c r="D1874" s="14"/>
      <c r="E1874" s="13">
        <v>1.2</v>
      </c>
      <c r="F1874" s="71" t="s">
        <v>131</v>
      </c>
      <c r="G1874" s="12"/>
    </row>
    <row r="1875" spans="2:11" hidden="1" outlineLevel="1">
      <c r="B1875" s="12" t="s">
        <v>1040</v>
      </c>
      <c r="C1875" s="77" t="str">
        <f>C1848</f>
        <v>Show</v>
      </c>
      <c r="D1875" s="14"/>
      <c r="E1875" s="13"/>
      <c r="F1875" s="11" t="s">
        <v>119</v>
      </c>
      <c r="G1875" s="12" t="s">
        <v>3417</v>
      </c>
    </row>
    <row r="1876" spans="2:11" hidden="1" outlineLevel="1">
      <c r="B1876" s="12" t="s">
        <v>1040</v>
      </c>
      <c r="C1876" s="77" t="str">
        <f>C1848</f>
        <v>Show</v>
      </c>
      <c r="D1876" s="14"/>
      <c r="E1876" s="13"/>
      <c r="G1876" s="78" t="s">
        <v>121</v>
      </c>
      <c r="H1876" s="75" t="s">
        <v>2358</v>
      </c>
    </row>
    <row r="1877" spans="2:11" hidden="1" outlineLevel="1">
      <c r="B1877" s="12" t="s">
        <v>1040</v>
      </c>
      <c r="C1877" s="77" t="str">
        <f>C1848</f>
        <v>Show</v>
      </c>
      <c r="D1877" s="23" t="s">
        <v>613</v>
      </c>
      <c r="E1877" s="13"/>
      <c r="G1877" s="12"/>
    </row>
    <row r="1878" spans="2:11" hidden="1" outlineLevel="1">
      <c r="B1878" s="12" t="s">
        <v>1040</v>
      </c>
      <c r="C1878" s="77" t="str">
        <f>C1848</f>
        <v>Show</v>
      </c>
      <c r="D1878" s="23"/>
      <c r="E1878" s="12" t="s">
        <v>679</v>
      </c>
      <c r="G1878" s="12"/>
    </row>
    <row r="1879" spans="2:11" hidden="1" outlineLevel="1">
      <c r="B1879" s="12" t="s">
        <v>1040</v>
      </c>
      <c r="C1879" s="13" t="str">
        <f>C1848</f>
        <v>Show</v>
      </c>
      <c r="D1879" s="23" t="s">
        <v>187</v>
      </c>
      <c r="E1879" s="13"/>
      <c r="G1879" s="13"/>
    </row>
    <row r="1880" spans="2:11" hidden="1" outlineLevel="1">
      <c r="B1880" s="12" t="s">
        <v>1040</v>
      </c>
      <c r="C1880" s="13" t="str">
        <f>C1848</f>
        <v>Show</v>
      </c>
      <c r="D1880" s="23"/>
      <c r="E1880" s="13">
        <v>3.1</v>
      </c>
      <c r="F1880" s="11" t="s">
        <v>616</v>
      </c>
      <c r="G1880" s="13"/>
    </row>
    <row r="1881" spans="2:11" hidden="1" outlineLevel="1">
      <c r="B1881" s="12" t="s">
        <v>1040</v>
      </c>
      <c r="C1881" s="13" t="str">
        <f>C1848</f>
        <v>Show</v>
      </c>
      <c r="D1881" s="23"/>
      <c r="E1881" s="12"/>
      <c r="F1881" s="11" t="s">
        <v>119</v>
      </c>
      <c r="G1881" s="12" t="s">
        <v>3417</v>
      </c>
    </row>
    <row r="1882" spans="2:11" hidden="1" outlineLevel="1">
      <c r="B1882" s="12" t="s">
        <v>1040</v>
      </c>
      <c r="C1882" s="13" t="str">
        <f>C1848</f>
        <v>Show</v>
      </c>
      <c r="D1882" s="23"/>
      <c r="E1882" s="12"/>
      <c r="G1882" s="78" t="s">
        <v>121</v>
      </c>
      <c r="H1882" s="75" t="s">
        <v>2359</v>
      </c>
    </row>
    <row r="1883" spans="2:11" hidden="1" outlineLevel="1">
      <c r="B1883" s="12" t="s">
        <v>1040</v>
      </c>
      <c r="C1883" s="13" t="str">
        <f>C1848</f>
        <v>Show</v>
      </c>
      <c r="D1883" s="23"/>
      <c r="E1883" s="12"/>
      <c r="G1883" s="12"/>
    </row>
    <row r="1884" spans="2:11" collapsed="1">
      <c r="B1884" s="12" t="s">
        <v>1040</v>
      </c>
      <c r="C1884" s="2" t="str">
        <f>C1848</f>
        <v>Show</v>
      </c>
      <c r="D1884" s="55" t="s">
        <v>1620</v>
      </c>
      <c r="E1884" s="55"/>
      <c r="F1884" s="57" t="s">
        <v>1602</v>
      </c>
      <c r="G1884" s="59"/>
      <c r="H1884" s="58"/>
      <c r="I1884" s="27"/>
      <c r="J1884" s="80"/>
      <c r="K1884" s="69"/>
    </row>
    <row r="1885" spans="2:11" hidden="1" outlineLevel="1">
      <c r="B1885" s="12" t="s">
        <v>1040</v>
      </c>
      <c r="C1885" s="7" t="str">
        <f>C1848</f>
        <v>Show</v>
      </c>
      <c r="D1885" s="23" t="s">
        <v>117</v>
      </c>
      <c r="E1885" s="83"/>
      <c r="F1885" s="81"/>
      <c r="G1885" s="84"/>
      <c r="H1885" s="85"/>
    </row>
    <row r="1886" spans="2:11" hidden="1" outlineLevel="1">
      <c r="B1886" s="12" t="s">
        <v>1040</v>
      </c>
      <c r="C1886" s="7" t="str">
        <f>C1848</f>
        <v>Show</v>
      </c>
      <c r="D1886" s="23"/>
      <c r="E1886" s="13">
        <v>1.1000000000000001</v>
      </c>
      <c r="F1886" s="11" t="s">
        <v>118</v>
      </c>
      <c r="G1886" s="13"/>
    </row>
    <row r="1887" spans="2:11" hidden="1" outlineLevel="1">
      <c r="B1887" s="12" t="s">
        <v>1040</v>
      </c>
      <c r="C1887" s="7" t="str">
        <f>C1848</f>
        <v>Show</v>
      </c>
      <c r="D1887" s="23"/>
      <c r="E1887" s="13"/>
      <c r="F1887" s="70" t="s">
        <v>119</v>
      </c>
      <c r="G1887" s="18" t="s">
        <v>677</v>
      </c>
    </row>
    <row r="1888" spans="2:11" hidden="1" outlineLevel="1">
      <c r="B1888" s="12" t="s">
        <v>1040</v>
      </c>
      <c r="C1888" s="7" t="str">
        <f>C1848</f>
        <v>Show</v>
      </c>
      <c r="D1888" s="14"/>
      <c r="E1888" s="86"/>
      <c r="F1888" s="12"/>
      <c r="G1888" s="78" t="s">
        <v>121</v>
      </c>
      <c r="H1888" s="79" t="s">
        <v>2301</v>
      </c>
    </row>
    <row r="1889" spans="2:11" hidden="1" outlineLevel="1">
      <c r="B1889" s="12" t="s">
        <v>1040</v>
      </c>
      <c r="C1889" s="7" t="str">
        <f>C1848</f>
        <v>Show</v>
      </c>
      <c r="D1889" s="14"/>
      <c r="E1889" s="86"/>
      <c r="F1889" s="12"/>
      <c r="G1889" s="78" t="s">
        <v>123</v>
      </c>
      <c r="H1889" s="79" t="s">
        <v>2384</v>
      </c>
    </row>
    <row r="1890" spans="2:11" hidden="1" outlineLevel="1">
      <c r="B1890" s="12" t="s">
        <v>1040</v>
      </c>
      <c r="C1890" s="7" t="str">
        <f>C1848</f>
        <v>Show</v>
      </c>
      <c r="D1890" s="14"/>
      <c r="E1890" s="86"/>
      <c r="F1890" s="12"/>
      <c r="G1890" s="78" t="s">
        <v>126</v>
      </c>
      <c r="H1890" s="79" t="s">
        <v>2385</v>
      </c>
    </row>
    <row r="1891" spans="2:11" hidden="1" outlineLevel="1">
      <c r="B1891" s="12" t="s">
        <v>1040</v>
      </c>
      <c r="C1891" s="7" t="str">
        <f>C1848</f>
        <v>Show</v>
      </c>
      <c r="D1891" s="14"/>
      <c r="E1891" s="86"/>
      <c r="F1891" s="12"/>
      <c r="G1891" s="78" t="s">
        <v>127</v>
      </c>
      <c r="H1891" s="79" t="s">
        <v>2387</v>
      </c>
    </row>
    <row r="1892" spans="2:11" hidden="1" outlineLevel="1">
      <c r="B1892" s="12" t="s">
        <v>1040</v>
      </c>
      <c r="C1892" s="7" t="str">
        <f>C1848</f>
        <v>Show</v>
      </c>
      <c r="D1892" s="14"/>
      <c r="E1892" s="13">
        <v>1.2</v>
      </c>
      <c r="F1892" s="71" t="s">
        <v>131</v>
      </c>
      <c r="G1892" s="12"/>
    </row>
    <row r="1893" spans="2:11" hidden="1" outlineLevel="1">
      <c r="B1893" s="12" t="s">
        <v>1040</v>
      </c>
      <c r="C1893" s="7" t="str">
        <f>C1848</f>
        <v>Show</v>
      </c>
      <c r="D1893" s="14"/>
      <c r="E1893" s="13"/>
      <c r="F1893" s="11" t="s">
        <v>119</v>
      </c>
      <c r="G1893" s="12" t="s">
        <v>3417</v>
      </c>
    </row>
    <row r="1894" spans="2:11" hidden="1" outlineLevel="1">
      <c r="B1894" s="12" t="s">
        <v>1040</v>
      </c>
      <c r="C1894" s="7" t="str">
        <f>C1848</f>
        <v>Show</v>
      </c>
      <c r="D1894" s="14"/>
      <c r="E1894" s="13"/>
      <c r="G1894" s="78" t="s">
        <v>121</v>
      </c>
      <c r="H1894" s="75" t="s">
        <v>2358</v>
      </c>
    </row>
    <row r="1895" spans="2:11" hidden="1" outlineLevel="1">
      <c r="B1895" s="12" t="s">
        <v>1040</v>
      </c>
      <c r="C1895" s="7" t="str">
        <f>C1848</f>
        <v>Show</v>
      </c>
      <c r="D1895" s="23" t="s">
        <v>613</v>
      </c>
      <c r="E1895" s="13"/>
      <c r="G1895" s="12"/>
    </row>
    <row r="1896" spans="2:11" hidden="1" outlineLevel="1">
      <c r="B1896" s="12" t="s">
        <v>1040</v>
      </c>
      <c r="C1896" s="7" t="str">
        <f>C1848</f>
        <v>Show</v>
      </c>
      <c r="D1896" s="23"/>
      <c r="E1896" s="12" t="s">
        <v>679</v>
      </c>
      <c r="G1896" s="12"/>
    </row>
    <row r="1897" spans="2:11" hidden="1" outlineLevel="1">
      <c r="B1897" s="12" t="s">
        <v>1040</v>
      </c>
      <c r="C1897" s="2" t="str">
        <f>C1848</f>
        <v>Show</v>
      </c>
      <c r="D1897" s="23" t="s">
        <v>187</v>
      </c>
      <c r="E1897" s="13"/>
      <c r="G1897" s="13"/>
    </row>
    <row r="1898" spans="2:11" hidden="1" outlineLevel="1">
      <c r="B1898" s="12" t="s">
        <v>1040</v>
      </c>
      <c r="C1898" s="2" t="str">
        <f>C1848</f>
        <v>Show</v>
      </c>
      <c r="D1898" s="23"/>
      <c r="E1898" s="13">
        <v>3.1</v>
      </c>
      <c r="F1898" s="11" t="s">
        <v>616</v>
      </c>
      <c r="G1898" s="13"/>
    </row>
    <row r="1899" spans="2:11" hidden="1" outlineLevel="1">
      <c r="B1899" s="12" t="s">
        <v>1040</v>
      </c>
      <c r="C1899" s="2" t="str">
        <f>C1848</f>
        <v>Show</v>
      </c>
      <c r="D1899" s="23"/>
      <c r="E1899" s="12"/>
      <c r="F1899" s="11" t="s">
        <v>119</v>
      </c>
      <c r="G1899" s="12" t="s">
        <v>3417</v>
      </c>
    </row>
    <row r="1900" spans="2:11" hidden="1" outlineLevel="1">
      <c r="B1900" s="12" t="s">
        <v>1040</v>
      </c>
      <c r="C1900" s="2" t="str">
        <f>C1848</f>
        <v>Show</v>
      </c>
      <c r="D1900" s="23"/>
      <c r="E1900" s="12"/>
      <c r="G1900" s="78" t="s">
        <v>121</v>
      </c>
      <c r="H1900" s="75" t="s">
        <v>2359</v>
      </c>
    </row>
    <row r="1901" spans="2:11" hidden="1" outlineLevel="1">
      <c r="B1901" s="12" t="s">
        <v>1040</v>
      </c>
      <c r="C1901" s="2" t="str">
        <f>C1848</f>
        <v>Show</v>
      </c>
      <c r="D1901" s="23"/>
      <c r="E1901" s="12"/>
      <c r="G1901" s="12"/>
    </row>
    <row r="1902" spans="2:11" collapsed="1">
      <c r="B1902" s="76" t="s">
        <v>2506</v>
      </c>
      <c r="C1902" s="7" t="str">
        <f>C1736</f>
        <v>Show</v>
      </c>
      <c r="D1902" s="23"/>
      <c r="E1902" s="12"/>
      <c r="F1902" s="12"/>
      <c r="G1902" s="69"/>
      <c r="I1902" s="27"/>
      <c r="J1902" s="80"/>
      <c r="K1902" s="69"/>
    </row>
    <row r="1903" spans="2:11">
      <c r="B1903" s="76" t="s">
        <v>2410</v>
      </c>
      <c r="C1903" s="7" t="str">
        <f>C38</f>
        <v>Show</v>
      </c>
      <c r="D1903" s="38" t="s">
        <v>547</v>
      </c>
      <c r="E1903" s="44"/>
      <c r="F1903" s="39"/>
      <c r="G1903" s="39"/>
      <c r="H1903" s="41"/>
      <c r="K1903" s="69"/>
    </row>
    <row r="1904" spans="2:11">
      <c r="B1904" s="12" t="s">
        <v>2393</v>
      </c>
      <c r="C1904" s="2" t="str">
        <f>IF(OR('1. Criteria &amp; Spec Matrix'!E66="",'1. Criteria &amp; Spec Matrix'!E66='3. Dropdowns'!C112,'1. Criteria &amp; Spec Matrix'!E225="",'1. Criteria &amp; Spec Matrix'!E225='3. Dropdowns'!C269,'1. Criteria &amp; Spec Matrix'!E225='3. Dropdowns'!C270),"Show","Hide")</f>
        <v>Show</v>
      </c>
      <c r="D1904" s="55" t="s">
        <v>1622</v>
      </c>
      <c r="E1904" s="56"/>
      <c r="F1904" s="57" t="s">
        <v>1603</v>
      </c>
      <c r="G1904" s="56"/>
      <c r="H1904" s="58"/>
      <c r="I1904" s="75"/>
      <c r="K1904" s="69"/>
    </row>
    <row r="1905" spans="2:63" hidden="1" outlineLevel="1">
      <c r="B1905" s="12" t="s">
        <v>2393</v>
      </c>
      <c r="C1905" s="7" t="str">
        <f>C1904</f>
        <v>Show</v>
      </c>
      <c r="D1905" s="23" t="s">
        <v>117</v>
      </c>
      <c r="E1905" s="13"/>
      <c r="G1905" s="13"/>
      <c r="I1905" s="79"/>
      <c r="J1905" s="80"/>
      <c r="K1905" s="80"/>
      <c r="M1905" s="80"/>
      <c r="N1905" s="80"/>
      <c r="O1905" s="80"/>
      <c r="P1905" s="80"/>
      <c r="Q1905" s="80"/>
      <c r="R1905" s="81"/>
      <c r="S1905" s="80"/>
    </row>
    <row r="1906" spans="2:63" hidden="1" outlineLevel="1">
      <c r="B1906" s="12" t="s">
        <v>2393</v>
      </c>
      <c r="C1906" s="7" t="str">
        <f>C1904</f>
        <v>Show</v>
      </c>
      <c r="D1906" s="23"/>
      <c r="E1906" s="13">
        <v>1.1000000000000001</v>
      </c>
      <c r="F1906" s="11" t="s">
        <v>118</v>
      </c>
      <c r="G1906" s="13"/>
      <c r="I1906" s="82"/>
      <c r="J1906" s="82"/>
      <c r="K1906" s="82"/>
      <c r="L1906" s="82"/>
      <c r="M1906" s="82"/>
      <c r="N1906" s="82"/>
      <c r="O1906" s="82"/>
      <c r="P1906" s="82"/>
      <c r="Q1906" s="82"/>
      <c r="R1906" s="82"/>
      <c r="S1906" s="82"/>
      <c r="T1906" s="82"/>
      <c r="U1906" s="82"/>
      <c r="V1906" s="82"/>
      <c r="W1906" s="82"/>
      <c r="X1906" s="82"/>
      <c r="Y1906" s="17"/>
      <c r="Z1906" s="82"/>
      <c r="AA1906" s="82"/>
      <c r="AB1906" s="82"/>
      <c r="AC1906" s="17"/>
      <c r="AD1906" s="82"/>
      <c r="AE1906" s="82"/>
      <c r="AF1906" s="82"/>
      <c r="AG1906" s="82"/>
      <c r="AH1906" s="17"/>
      <c r="AI1906" s="17"/>
      <c r="AJ1906" s="82"/>
      <c r="AK1906" s="82"/>
      <c r="AL1906" s="82"/>
      <c r="AM1906" s="17"/>
      <c r="AN1906" s="82"/>
      <c r="AO1906" s="82"/>
      <c r="AP1906" s="82"/>
      <c r="AQ1906" s="82"/>
      <c r="AR1906" s="82"/>
      <c r="AS1906" s="82"/>
      <c r="AT1906" s="82"/>
      <c r="AU1906" s="82"/>
      <c r="AV1906" s="82"/>
      <c r="AW1906" s="82"/>
      <c r="AX1906" s="82"/>
      <c r="AY1906" s="82"/>
      <c r="AZ1906" s="82"/>
      <c r="BA1906" s="17"/>
      <c r="BB1906" s="82"/>
      <c r="BC1906" s="82"/>
      <c r="BD1906" s="82"/>
      <c r="BE1906" s="82"/>
      <c r="BF1906" s="82"/>
      <c r="BG1906" s="82"/>
      <c r="BH1906" s="82"/>
      <c r="BI1906" s="82"/>
      <c r="BJ1906" s="82"/>
      <c r="BK1906" s="17"/>
    </row>
    <row r="1907" spans="2:63" hidden="1" outlineLevel="1">
      <c r="B1907" s="12" t="s">
        <v>2393</v>
      </c>
      <c r="C1907" s="7" t="str">
        <f>C1904</f>
        <v>Show</v>
      </c>
      <c r="D1907" s="23"/>
      <c r="E1907" s="13"/>
      <c r="F1907" s="70" t="s">
        <v>119</v>
      </c>
      <c r="G1907" s="18" t="s">
        <v>677</v>
      </c>
      <c r="I1907" s="79"/>
      <c r="J1907" s="80"/>
      <c r="K1907" s="27"/>
      <c r="L1907" s="27"/>
      <c r="M1907" s="27"/>
      <c r="N1907" s="28"/>
      <c r="O1907" s="27"/>
    </row>
    <row r="1908" spans="2:63" hidden="1" outlineLevel="1">
      <c r="B1908" s="12" t="s">
        <v>2393</v>
      </c>
      <c r="C1908" s="7" t="str">
        <f>C1904</f>
        <v>Show</v>
      </c>
      <c r="D1908" s="23"/>
      <c r="E1908" s="13"/>
      <c r="F1908" s="70"/>
      <c r="G1908" s="78" t="s">
        <v>121</v>
      </c>
      <c r="H1908" s="79" t="s">
        <v>2301</v>
      </c>
      <c r="I1908" s="79"/>
      <c r="J1908" s="80"/>
      <c r="O1908" s="80"/>
    </row>
    <row r="1909" spans="2:63" hidden="1" outlineLevel="1">
      <c r="B1909" s="12" t="s">
        <v>2393</v>
      </c>
      <c r="C1909" s="7" t="str">
        <f>C1904</f>
        <v>Show</v>
      </c>
      <c r="D1909" s="23"/>
      <c r="E1909" s="13">
        <v>1.2</v>
      </c>
      <c r="F1909" s="71" t="s">
        <v>131</v>
      </c>
      <c r="G1909" s="78"/>
      <c r="I1909" s="79"/>
      <c r="J1909" s="80"/>
      <c r="O1909" s="80"/>
    </row>
    <row r="1910" spans="2:63" hidden="1" outlineLevel="1">
      <c r="B1910" s="77" t="s">
        <v>2395</v>
      </c>
      <c r="C1910" s="7" t="str">
        <f>IF(OR('1. Criteria &amp; Spec Matrix'!E66="",'1. Criteria &amp; Spec Matrix'!E66='3. Dropdowns'!C112),"Show","Hide")</f>
        <v>Show</v>
      </c>
      <c r="D1910" s="23"/>
      <c r="E1910" s="13"/>
      <c r="F1910" s="70" t="s">
        <v>119</v>
      </c>
      <c r="G1910" s="12" t="s">
        <v>3426</v>
      </c>
      <c r="I1910" s="79"/>
      <c r="J1910" s="80"/>
      <c r="O1910" s="80"/>
    </row>
    <row r="1911" spans="2:63" hidden="1" outlineLevel="1">
      <c r="B1911" s="77" t="s">
        <v>2395</v>
      </c>
      <c r="C1911" s="7" t="str">
        <f>C1910</f>
        <v>Show</v>
      </c>
      <c r="D1911" s="23"/>
      <c r="E1911" s="13"/>
      <c r="F1911" s="70"/>
      <c r="G1911" s="78" t="s">
        <v>121</v>
      </c>
      <c r="H1911" s="75" t="s">
        <v>2397</v>
      </c>
      <c r="I1911" s="79"/>
      <c r="J1911" s="80"/>
      <c r="O1911" s="80"/>
    </row>
    <row r="1912" spans="2:63" hidden="1" outlineLevel="1">
      <c r="B1912" s="77" t="s">
        <v>2396</v>
      </c>
      <c r="C1912" s="7" t="str">
        <f>IF(OR('1. Criteria &amp; Spec Matrix'!E225="",'1. Criteria &amp; Spec Matrix'!E225='3. Dropdowns'!C269,'1. Criteria &amp; Spec Matrix'!E225='3. Dropdowns'!C270),"Show","Hide")</f>
        <v>Show</v>
      </c>
      <c r="D1912" s="23"/>
      <c r="E1912" s="13"/>
      <c r="F1912" s="70" t="str">
        <f>IF(C1910="Show","B.","A.")</f>
        <v>B.</v>
      </c>
      <c r="G1912" s="12" t="s">
        <v>3427</v>
      </c>
      <c r="I1912" s="79"/>
      <c r="J1912" s="80"/>
      <c r="O1912" s="80"/>
    </row>
    <row r="1913" spans="2:63" hidden="1" outlineLevel="1">
      <c r="B1913" s="77" t="s">
        <v>2396</v>
      </c>
      <c r="C1913" s="7" t="str">
        <f>C1912</f>
        <v>Show</v>
      </c>
      <c r="D1913" s="23"/>
      <c r="E1913" s="13"/>
      <c r="F1913" s="70"/>
      <c r="G1913" s="78" t="s">
        <v>121</v>
      </c>
      <c r="H1913" s="75" t="s">
        <v>2398</v>
      </c>
      <c r="I1913" s="79"/>
      <c r="J1913" s="80"/>
      <c r="O1913" s="80"/>
    </row>
    <row r="1914" spans="2:63" hidden="1" outlineLevel="1">
      <c r="B1914" s="12" t="s">
        <v>2393</v>
      </c>
      <c r="C1914" s="7" t="str">
        <f>C1904</f>
        <v>Show</v>
      </c>
      <c r="D1914" s="23" t="s">
        <v>613</v>
      </c>
      <c r="E1914" s="13"/>
      <c r="G1914" s="13"/>
      <c r="I1914" s="79"/>
      <c r="J1914" s="80"/>
      <c r="O1914" s="80"/>
    </row>
    <row r="1915" spans="2:63" hidden="1" outlineLevel="1">
      <c r="B1915" s="12" t="s">
        <v>2393</v>
      </c>
      <c r="C1915" s="7" t="str">
        <f>C1904</f>
        <v>Show</v>
      </c>
      <c r="D1915" s="23"/>
      <c r="E1915" s="12" t="s">
        <v>2320</v>
      </c>
      <c r="G1915" s="13"/>
      <c r="I1915" s="79"/>
      <c r="J1915" s="80"/>
      <c r="O1915" s="80"/>
    </row>
    <row r="1916" spans="2:63" hidden="1" outlineLevel="1">
      <c r="B1916" s="77" t="s">
        <v>2395</v>
      </c>
      <c r="C1916" s="7" t="str">
        <f>C1910</f>
        <v>Show</v>
      </c>
      <c r="D1916" s="23"/>
      <c r="E1916" s="12"/>
      <c r="F1916" s="70" t="s">
        <v>119</v>
      </c>
      <c r="G1916" s="12" t="s">
        <v>3426</v>
      </c>
      <c r="I1916" s="79"/>
      <c r="J1916" s="80"/>
      <c r="O1916" s="80"/>
    </row>
    <row r="1917" spans="2:63" hidden="1" outlineLevel="1">
      <c r="B1917" s="77" t="s">
        <v>2395</v>
      </c>
      <c r="C1917" s="7" t="str">
        <f>C1910</f>
        <v>Show</v>
      </c>
      <c r="D1917" s="23"/>
      <c r="E1917" s="12"/>
      <c r="G1917" s="30" t="s">
        <v>121</v>
      </c>
      <c r="H1917" s="75" t="s">
        <v>2399</v>
      </c>
      <c r="I1917" s="79"/>
      <c r="J1917" s="80"/>
      <c r="O1917" s="80"/>
    </row>
    <row r="1918" spans="2:63" hidden="1" outlineLevel="1">
      <c r="B1918" s="77" t="s">
        <v>2396</v>
      </c>
      <c r="C1918" s="7" t="str">
        <f>C1912</f>
        <v>Show</v>
      </c>
      <c r="D1918" s="23"/>
      <c r="E1918" s="12"/>
      <c r="F1918" s="70" t="str">
        <f>IF(C1916="Show","B.","A.")</f>
        <v>B.</v>
      </c>
      <c r="G1918" s="12" t="s">
        <v>3427</v>
      </c>
      <c r="I1918" s="79"/>
      <c r="J1918" s="80"/>
      <c r="O1918" s="80"/>
    </row>
    <row r="1919" spans="2:63" hidden="1" outlineLevel="1">
      <c r="B1919" s="77" t="s">
        <v>2396</v>
      </c>
      <c r="C1919" s="7" t="str">
        <f>C1912</f>
        <v>Show</v>
      </c>
      <c r="D1919" s="23"/>
      <c r="E1919" s="12"/>
      <c r="G1919" s="78" t="s">
        <v>121</v>
      </c>
      <c r="H1919" s="75" t="s">
        <v>2400</v>
      </c>
      <c r="I1919" s="79"/>
      <c r="J1919" s="80"/>
      <c r="O1919" s="80"/>
    </row>
    <row r="1920" spans="2:63" hidden="1" outlineLevel="1">
      <c r="B1920" s="12" t="s">
        <v>2393</v>
      </c>
      <c r="C1920" s="7" t="str">
        <f>C1904</f>
        <v>Show</v>
      </c>
      <c r="D1920" s="23" t="s">
        <v>187</v>
      </c>
      <c r="E1920" s="13"/>
      <c r="G1920" s="13"/>
      <c r="I1920" s="79"/>
      <c r="J1920" s="80"/>
      <c r="O1920" s="80"/>
    </row>
    <row r="1921" spans="2:19" hidden="1" outlineLevel="1">
      <c r="B1921" s="12" t="s">
        <v>2393</v>
      </c>
      <c r="C1921" s="7" t="str">
        <f>C1904</f>
        <v>Show</v>
      </c>
      <c r="D1921" s="23"/>
      <c r="E1921" s="12" t="str">
        <f>IF(C1922="Show","3.1 Execution Requirements","(no EGC requirements)")</f>
        <v>3.1 Execution Requirements</v>
      </c>
      <c r="G1921" s="13"/>
      <c r="I1921" s="79"/>
      <c r="J1921" s="80"/>
      <c r="O1921" s="80"/>
    </row>
    <row r="1922" spans="2:19" hidden="1" outlineLevel="1">
      <c r="B1922" s="77" t="s">
        <v>2395</v>
      </c>
      <c r="C1922" s="7" t="str">
        <f>C1910</f>
        <v>Show</v>
      </c>
      <c r="D1922" s="23"/>
      <c r="E1922" s="13"/>
      <c r="F1922" s="70" t="s">
        <v>119</v>
      </c>
      <c r="G1922" s="12" t="s">
        <v>3426</v>
      </c>
      <c r="I1922" s="79"/>
      <c r="J1922" s="80"/>
      <c r="O1922" s="80"/>
    </row>
    <row r="1923" spans="2:19" ht="30" hidden="1" outlineLevel="1">
      <c r="B1923" s="77" t="s">
        <v>2395</v>
      </c>
      <c r="C1923" s="7" t="str">
        <f>C1910</f>
        <v>Show</v>
      </c>
      <c r="D1923" s="23"/>
      <c r="E1923" s="13"/>
      <c r="G1923" s="78" t="s">
        <v>121</v>
      </c>
      <c r="H1923" s="75" t="s">
        <v>2401</v>
      </c>
      <c r="I1923" s="79"/>
      <c r="J1923" s="80"/>
      <c r="O1923" s="80"/>
    </row>
    <row r="1924" spans="2:19" hidden="1" outlineLevel="1">
      <c r="B1924" s="12" t="s">
        <v>2393</v>
      </c>
      <c r="C1924" s="7" t="str">
        <f>C1904</f>
        <v>Show</v>
      </c>
      <c r="D1924" s="23"/>
      <c r="E1924" s="13"/>
      <c r="G1924" s="78"/>
      <c r="I1924" s="79"/>
      <c r="J1924" s="80"/>
      <c r="O1924" s="80"/>
    </row>
    <row r="1925" spans="2:19" collapsed="1">
      <c r="B1925" s="12" t="s">
        <v>2403</v>
      </c>
      <c r="C1925" s="2" t="str">
        <f>IF(OR('1. Criteria &amp; Spec Matrix'!C249="Show",'1. Criteria &amp; Spec Matrix'!E205="",'1. Criteria &amp; Spec Matrix'!E205='3. Dropdowns'!C249,'1. Criteria &amp; Spec Matrix'!E207="",'1. Criteria &amp; Spec Matrix'!E207='3. Dropdowns'!C250,'1. Criteria &amp; Spec Matrix'!E207='3. Dropdowns'!C251,'1. Criteria &amp; Spec Matrix'!E225='3. Dropdowns'!C269,'1. Criteria &amp; Spec Matrix'!E225='3. Dropdowns'!C270,'1. Criteria &amp; Spec Matrix'!E225=""),"Show","Hide")</f>
        <v>Show</v>
      </c>
      <c r="D1925" s="55" t="s">
        <v>239</v>
      </c>
      <c r="E1925" s="56"/>
      <c r="F1925" s="57" t="s">
        <v>1604</v>
      </c>
      <c r="G1925" s="56"/>
      <c r="H1925" s="58"/>
      <c r="I1925" s="75"/>
      <c r="K1925" s="69"/>
    </row>
    <row r="1926" spans="2:19" hidden="1" outlineLevel="1">
      <c r="B1926" s="12" t="s">
        <v>2403</v>
      </c>
      <c r="C1926" s="7" t="str">
        <f>C1925</f>
        <v>Show</v>
      </c>
      <c r="D1926" s="23" t="s">
        <v>117</v>
      </c>
      <c r="E1926" s="13"/>
      <c r="G1926" s="13"/>
      <c r="I1926" s="79"/>
      <c r="J1926" s="80"/>
      <c r="K1926" s="80"/>
      <c r="M1926" s="80"/>
      <c r="N1926" s="80"/>
      <c r="O1926" s="80"/>
      <c r="P1926" s="80"/>
      <c r="Q1926" s="80"/>
      <c r="R1926" s="81"/>
      <c r="S1926" s="80"/>
    </row>
    <row r="1927" spans="2:19" hidden="1" outlineLevel="1">
      <c r="B1927" s="12" t="s">
        <v>2403</v>
      </c>
      <c r="C1927" s="7" t="str">
        <f>C1925</f>
        <v>Show</v>
      </c>
      <c r="D1927" s="23"/>
      <c r="E1927" s="13">
        <v>1.1000000000000001</v>
      </c>
      <c r="F1927" s="11" t="s">
        <v>118</v>
      </c>
      <c r="G1927" s="13"/>
      <c r="I1927" s="79"/>
      <c r="J1927" s="80"/>
      <c r="O1927" s="80"/>
    </row>
    <row r="1928" spans="2:19" hidden="1" outlineLevel="1">
      <c r="B1928" s="12" t="s">
        <v>2403</v>
      </c>
      <c r="C1928" s="7" t="str">
        <f>C1925</f>
        <v>Show</v>
      </c>
      <c r="D1928" s="23"/>
      <c r="E1928" s="13"/>
      <c r="F1928" s="70" t="s">
        <v>119</v>
      </c>
      <c r="G1928" s="18" t="s">
        <v>677</v>
      </c>
      <c r="I1928" s="79"/>
      <c r="J1928" s="80"/>
      <c r="K1928" s="27"/>
      <c r="L1928" s="27"/>
      <c r="M1928" s="27"/>
      <c r="N1928" s="28"/>
      <c r="O1928" s="27"/>
    </row>
    <row r="1929" spans="2:19" hidden="1" outlineLevel="1">
      <c r="B1929" s="12" t="s">
        <v>2403</v>
      </c>
      <c r="C1929" s="7" t="str">
        <f>C1925</f>
        <v>Show</v>
      </c>
      <c r="D1929" s="23"/>
      <c r="E1929" s="13"/>
      <c r="F1929" s="70"/>
      <c r="G1929" s="78" t="s">
        <v>121</v>
      </c>
      <c r="H1929" s="79" t="s">
        <v>2301</v>
      </c>
      <c r="I1929" s="79"/>
      <c r="J1929" s="80"/>
      <c r="O1929" s="80"/>
    </row>
    <row r="1930" spans="2:19" hidden="1" outlineLevel="1">
      <c r="B1930" s="77" t="s">
        <v>2404</v>
      </c>
      <c r="C1930" s="7" t="str">
        <f>IF(OR('1. Criteria &amp; Spec Matrix'!C249="Show",'1. Criteria &amp; Spec Matrix'!E207="",'1. Criteria &amp; Spec Matrix'!E207='3. Dropdowns'!C250,'1. Criteria &amp; Spec Matrix'!E207='3. Dropdowns'!C251,'1. Criteria &amp; Spec Matrix'!E225='3. Dropdowns'!C269,'1. Criteria &amp; Spec Matrix'!E225='3. Dropdowns'!C270,'1. Criteria &amp; Spec Matrix'!E225=""),"Show","Hide")</f>
        <v>Show</v>
      </c>
      <c r="D1930" s="23"/>
      <c r="E1930" s="13">
        <v>1.2</v>
      </c>
      <c r="F1930" s="71" t="s">
        <v>131</v>
      </c>
      <c r="G1930" s="78"/>
      <c r="I1930" s="79"/>
      <c r="J1930" s="80"/>
      <c r="O1930" s="80"/>
    </row>
    <row r="1931" spans="2:19" ht="30" hidden="1" outlineLevel="1">
      <c r="B1931" s="77" t="s">
        <v>2405</v>
      </c>
      <c r="C1931" s="7" t="str">
        <f>IF(OR('1. Criteria &amp; Spec Matrix'!E207="",'1. Criteria &amp; Spec Matrix'!E207='3. Dropdowns'!C250,'1. Criteria &amp; Spec Matrix'!E207='3. Dropdowns'!C251),"Show","Hide")</f>
        <v>Show</v>
      </c>
      <c r="D1931" s="23"/>
      <c r="E1931" s="13"/>
      <c r="F1931" s="70" t="s">
        <v>119</v>
      </c>
      <c r="H1931" s="75" t="s">
        <v>3428</v>
      </c>
      <c r="I1931" s="79"/>
      <c r="J1931" s="80"/>
      <c r="O1931" s="80"/>
    </row>
    <row r="1932" spans="2:19" ht="30" hidden="1" outlineLevel="1">
      <c r="B1932" s="77" t="s">
        <v>2405</v>
      </c>
      <c r="C1932" s="7" t="str">
        <f>C1931</f>
        <v>Show</v>
      </c>
      <c r="D1932" s="23"/>
      <c r="E1932" s="13"/>
      <c r="F1932" s="70"/>
      <c r="G1932" s="78" t="s">
        <v>121</v>
      </c>
      <c r="H1932" s="75" t="s">
        <v>2406</v>
      </c>
      <c r="I1932" s="79"/>
      <c r="J1932" s="80"/>
      <c r="O1932" s="80"/>
    </row>
    <row r="1933" spans="2:19" hidden="1" outlineLevel="1">
      <c r="B1933" s="77" t="s">
        <v>2396</v>
      </c>
      <c r="C1933" s="7" t="str">
        <f>IF(OR('1. Criteria &amp; Spec Matrix'!E225="",'1. Criteria &amp; Spec Matrix'!E225='3. Dropdowns'!C269,'1. Criteria &amp; Spec Matrix'!E225='3. Dropdowns'!C270),"Show","Hide")</f>
        <v>Show</v>
      </c>
      <c r="D1933" s="23"/>
      <c r="E1933" s="13"/>
      <c r="F1933" s="70" t="s">
        <v>125</v>
      </c>
      <c r="H1933" s="75" t="s">
        <v>3429</v>
      </c>
      <c r="I1933" s="79"/>
      <c r="J1933" s="80"/>
      <c r="O1933" s="80"/>
    </row>
    <row r="1934" spans="2:19" hidden="1" outlineLevel="1">
      <c r="B1934" s="77" t="s">
        <v>2396</v>
      </c>
      <c r="C1934" s="7" t="str">
        <f>C1933</f>
        <v>Show</v>
      </c>
      <c r="D1934" s="23"/>
      <c r="E1934" s="13"/>
      <c r="F1934" s="70"/>
      <c r="G1934" s="78" t="s">
        <v>121</v>
      </c>
      <c r="H1934" s="75" t="s">
        <v>2398</v>
      </c>
      <c r="I1934" s="79"/>
      <c r="J1934" s="80"/>
      <c r="O1934" s="80"/>
    </row>
    <row r="1935" spans="2:19" ht="30" hidden="1" outlineLevel="1">
      <c r="B1935" s="77" t="s">
        <v>2281</v>
      </c>
      <c r="C1935" s="7" t="str">
        <f>IF('1. Criteria &amp; Spec Matrix'!C249="Show","Show","Hide")</f>
        <v>Show</v>
      </c>
      <c r="D1935" s="23"/>
      <c r="E1935" s="13"/>
      <c r="F1935" s="70" t="s">
        <v>158</v>
      </c>
      <c r="H1935" s="75" t="s">
        <v>3430</v>
      </c>
      <c r="I1935" s="79"/>
      <c r="J1935" s="80"/>
      <c r="O1935" s="80"/>
    </row>
    <row r="1936" spans="2:19" hidden="1" outlineLevel="1">
      <c r="B1936" s="77" t="s">
        <v>2281</v>
      </c>
      <c r="C1936" s="7" t="str">
        <f>C1935</f>
        <v>Show</v>
      </c>
      <c r="D1936" s="23"/>
      <c r="E1936" s="13"/>
      <c r="F1936" s="70"/>
      <c r="G1936" s="78" t="s">
        <v>121</v>
      </c>
      <c r="H1936" s="75" t="s">
        <v>2407</v>
      </c>
      <c r="I1936" s="79"/>
      <c r="J1936" s="80"/>
      <c r="O1936" s="80"/>
    </row>
    <row r="1937" spans="2:15" hidden="1" outlineLevel="1">
      <c r="B1937" s="12" t="s">
        <v>2403</v>
      </c>
      <c r="C1937" s="7" t="str">
        <f>C1925</f>
        <v>Show</v>
      </c>
      <c r="D1937" s="23" t="s">
        <v>613</v>
      </c>
      <c r="E1937" s="13"/>
      <c r="G1937" s="13"/>
      <c r="I1937" s="79"/>
      <c r="J1937" s="80"/>
      <c r="O1937" s="80"/>
    </row>
    <row r="1938" spans="2:15" hidden="1" outlineLevel="1">
      <c r="B1938" s="12" t="s">
        <v>2403</v>
      </c>
      <c r="C1938" s="74" t="str">
        <f>C1925</f>
        <v>Show</v>
      </c>
      <c r="D1938" s="23"/>
      <c r="E1938" s="77" t="str">
        <f>IF(OR('1. Criteria &amp; Spec Matrix'!C249="Show",'1. Criteria &amp; Spec Matrix'!E205="",'1. Criteria &amp; Spec Matrix'!E205='3. Dropdowns'!C249,'1. Criteria &amp; Spec Matrix'!E225='3. Dropdowns'!C269,'1. Criteria &amp; Spec Matrix'!E225='3. Dropdowns'!C270),"2.1 Product Requirements","(no EGC requirements)")</f>
        <v>2.1 Product Requirements</v>
      </c>
      <c r="G1938" s="13"/>
      <c r="I1938" s="79"/>
      <c r="J1938" s="80"/>
      <c r="O1938" s="80"/>
    </row>
    <row r="1939" spans="2:15" hidden="1" outlineLevel="1">
      <c r="B1939" s="77" t="s">
        <v>2402</v>
      </c>
      <c r="C1939" s="7" t="str">
        <f>IF(OR('1. Criteria &amp; Spec Matrix'!E205="",'1. Criteria &amp; Spec Matrix'!E205='3. Dropdowns'!C249),"Show","Hide")</f>
        <v>Show</v>
      </c>
      <c r="D1939" s="23"/>
      <c r="E1939" s="12"/>
      <c r="F1939" s="70" t="s">
        <v>119</v>
      </c>
      <c r="H1939" s="75" t="s">
        <v>3431</v>
      </c>
      <c r="I1939" s="79"/>
      <c r="J1939" s="80"/>
      <c r="O1939" s="80"/>
    </row>
    <row r="1940" spans="2:15" hidden="1" outlineLevel="1">
      <c r="B1940" s="77" t="s">
        <v>2402</v>
      </c>
      <c r="C1940" s="7" t="str">
        <f>C1939</f>
        <v>Show</v>
      </c>
      <c r="D1940" s="23"/>
      <c r="E1940" s="12"/>
      <c r="F1940" s="70"/>
      <c r="G1940" s="30" t="s">
        <v>121</v>
      </c>
      <c r="H1940" s="75" t="s">
        <v>2408</v>
      </c>
      <c r="I1940" s="79"/>
      <c r="J1940" s="80"/>
      <c r="O1940" s="80"/>
    </row>
    <row r="1941" spans="2:15" hidden="1" outlineLevel="1">
      <c r="B1941" s="77" t="s">
        <v>2396</v>
      </c>
      <c r="C1941" s="7" t="str">
        <f>C1933</f>
        <v>Show</v>
      </c>
      <c r="D1941" s="23"/>
      <c r="E1941" s="12"/>
      <c r="F1941" s="70" t="s">
        <v>125</v>
      </c>
      <c r="H1941" s="75" t="s">
        <v>3429</v>
      </c>
      <c r="I1941" s="79"/>
      <c r="J1941" s="80"/>
      <c r="O1941" s="80"/>
    </row>
    <row r="1942" spans="2:15" hidden="1" outlineLevel="1">
      <c r="B1942" s="77" t="s">
        <v>2396</v>
      </c>
      <c r="C1942" s="7" t="str">
        <f>C1933</f>
        <v>Show</v>
      </c>
      <c r="D1942" s="23"/>
      <c r="E1942" s="12"/>
      <c r="F1942" s="70"/>
      <c r="G1942" s="30" t="s">
        <v>121</v>
      </c>
      <c r="H1942" s="75" t="s">
        <v>2400</v>
      </c>
      <c r="I1942" s="79"/>
      <c r="J1942" s="80"/>
      <c r="O1942" s="80"/>
    </row>
    <row r="1943" spans="2:15" ht="30" hidden="1" outlineLevel="1">
      <c r="B1943" s="77" t="s">
        <v>2281</v>
      </c>
      <c r="C1943" s="7" t="str">
        <f>C1935</f>
        <v>Show</v>
      </c>
      <c r="D1943" s="23"/>
      <c r="E1943" s="12"/>
      <c r="F1943" s="70" t="s">
        <v>158</v>
      </c>
      <c r="H1943" s="75" t="s">
        <v>3430</v>
      </c>
      <c r="I1943" s="79"/>
      <c r="J1943" s="80"/>
      <c r="O1943" s="80"/>
    </row>
    <row r="1944" spans="2:15" hidden="1" outlineLevel="1">
      <c r="B1944" s="77" t="s">
        <v>2281</v>
      </c>
      <c r="C1944" s="7" t="str">
        <f>C1935</f>
        <v>Show</v>
      </c>
      <c r="D1944" s="23"/>
      <c r="E1944" s="12"/>
      <c r="G1944" s="30" t="s">
        <v>121</v>
      </c>
      <c r="H1944" s="75" t="s">
        <v>2409</v>
      </c>
      <c r="I1944" s="79"/>
      <c r="J1944" s="80"/>
      <c r="O1944" s="80"/>
    </row>
    <row r="1945" spans="2:15" hidden="1" outlineLevel="1">
      <c r="B1945" s="12" t="s">
        <v>2403</v>
      </c>
      <c r="C1945" s="7" t="str">
        <f>C1937</f>
        <v>Show</v>
      </c>
      <c r="D1945" s="23" t="s">
        <v>187</v>
      </c>
      <c r="E1945" s="13"/>
      <c r="G1945" s="13"/>
      <c r="I1945" s="79"/>
      <c r="J1945" s="80"/>
      <c r="O1945" s="80"/>
    </row>
    <row r="1946" spans="2:15" hidden="1" outlineLevel="1">
      <c r="B1946" s="12" t="s">
        <v>2403</v>
      </c>
      <c r="C1946" s="7" t="str">
        <f>C1937</f>
        <v>Show</v>
      </c>
      <c r="D1946" s="23"/>
      <c r="E1946" s="12" t="str">
        <f>IF(OR(C1947="Show",C1949="Show"),"3.1 Execution Requirements","(no EGC requirements)")</f>
        <v>3.1 Execution Requirements</v>
      </c>
      <c r="G1946" s="13"/>
      <c r="I1946" s="79"/>
      <c r="J1946" s="80"/>
      <c r="O1946" s="80"/>
    </row>
    <row r="1947" spans="2:15" ht="30" hidden="1" outlineLevel="1">
      <c r="B1947" s="77" t="s">
        <v>2405</v>
      </c>
      <c r="C1947" s="7" t="str">
        <f>C1931</f>
        <v>Show</v>
      </c>
      <c r="D1947" s="23"/>
      <c r="E1947" s="13"/>
      <c r="F1947" s="70" t="s">
        <v>119</v>
      </c>
      <c r="H1947" s="75" t="s">
        <v>3428</v>
      </c>
      <c r="I1947" s="79"/>
      <c r="J1947" s="80"/>
      <c r="O1947" s="80"/>
    </row>
    <row r="1948" spans="2:15" hidden="1" outlineLevel="1">
      <c r="B1948" s="77" t="s">
        <v>2405</v>
      </c>
      <c r="C1948" s="7" t="str">
        <f>C1931</f>
        <v>Show</v>
      </c>
      <c r="D1948" s="23"/>
      <c r="E1948" s="13"/>
      <c r="G1948" s="78" t="s">
        <v>121</v>
      </c>
      <c r="H1948" s="75" t="s">
        <v>2392</v>
      </c>
      <c r="I1948" s="79"/>
      <c r="J1948" s="80"/>
      <c r="O1948" s="80"/>
    </row>
    <row r="1949" spans="2:15" ht="30" hidden="1" outlineLevel="1">
      <c r="B1949" s="77" t="s">
        <v>2281</v>
      </c>
      <c r="C1949" s="7" t="str">
        <f>C1935</f>
        <v>Show</v>
      </c>
      <c r="D1949" s="23"/>
      <c r="E1949" s="13"/>
      <c r="F1949" s="70" t="s">
        <v>125</v>
      </c>
      <c r="H1949" s="75" t="s">
        <v>3430</v>
      </c>
      <c r="I1949" s="79"/>
      <c r="J1949" s="80"/>
      <c r="O1949" s="80"/>
    </row>
    <row r="1950" spans="2:15" hidden="1" outlineLevel="1">
      <c r="B1950" s="77" t="s">
        <v>2281</v>
      </c>
      <c r="C1950" s="7" t="str">
        <f>C1935</f>
        <v>Show</v>
      </c>
      <c r="D1950" s="23"/>
      <c r="E1950" s="13"/>
      <c r="G1950" s="78" t="s">
        <v>121</v>
      </c>
      <c r="H1950" s="75" t="s">
        <v>2392</v>
      </c>
      <c r="I1950" s="79"/>
      <c r="J1950" s="80"/>
      <c r="O1950" s="80"/>
    </row>
    <row r="1951" spans="2:15" hidden="1" outlineLevel="1">
      <c r="B1951" s="12" t="s">
        <v>2403</v>
      </c>
      <c r="C1951" s="7" t="str">
        <f>C1925</f>
        <v>Show</v>
      </c>
      <c r="D1951" s="23"/>
      <c r="E1951" s="13"/>
      <c r="G1951" s="78"/>
      <c r="I1951" s="79"/>
      <c r="J1951" s="80"/>
      <c r="O1951" s="80"/>
    </row>
    <row r="1952" spans="2:15" collapsed="1">
      <c r="B1952" s="12" t="s">
        <v>2403</v>
      </c>
      <c r="C1952" s="2" t="str">
        <f>C1925</f>
        <v>Show</v>
      </c>
      <c r="D1952" s="55" t="s">
        <v>1623</v>
      </c>
      <c r="E1952" s="56"/>
      <c r="F1952" s="57" t="s">
        <v>1605</v>
      </c>
      <c r="G1952" s="56"/>
      <c r="H1952" s="58"/>
      <c r="I1952" s="75"/>
    </row>
    <row r="1953" spans="2:19" hidden="1" outlineLevel="1">
      <c r="B1953" s="12" t="s">
        <v>2403</v>
      </c>
      <c r="C1953" s="2" t="str">
        <f t="shared" ref="C1953:C1978" si="22">C1926</f>
        <v>Show</v>
      </c>
      <c r="D1953" s="23" t="s">
        <v>117</v>
      </c>
      <c r="E1953" s="13"/>
      <c r="G1953" s="13"/>
      <c r="I1953" s="79"/>
      <c r="J1953" s="80"/>
      <c r="K1953" s="80"/>
      <c r="M1953" s="80"/>
      <c r="N1953" s="80"/>
      <c r="O1953" s="80"/>
      <c r="P1953" s="80"/>
      <c r="Q1953" s="80"/>
      <c r="R1953" s="81"/>
      <c r="S1953" s="80"/>
    </row>
    <row r="1954" spans="2:19" hidden="1" outlineLevel="1">
      <c r="B1954" s="12" t="s">
        <v>2403</v>
      </c>
      <c r="C1954" s="2" t="str">
        <f t="shared" si="22"/>
        <v>Show</v>
      </c>
      <c r="D1954" s="23"/>
      <c r="E1954" s="13">
        <v>1.1000000000000001</v>
      </c>
      <c r="F1954" s="11" t="s">
        <v>118</v>
      </c>
      <c r="G1954" s="13"/>
      <c r="I1954" s="79"/>
      <c r="J1954" s="80"/>
      <c r="O1954" s="80"/>
    </row>
    <row r="1955" spans="2:19" hidden="1" outlineLevel="1">
      <c r="B1955" s="12" t="s">
        <v>2403</v>
      </c>
      <c r="C1955" s="2" t="str">
        <f t="shared" si="22"/>
        <v>Show</v>
      </c>
      <c r="D1955" s="23"/>
      <c r="E1955" s="13"/>
      <c r="F1955" s="70" t="s">
        <v>119</v>
      </c>
      <c r="G1955" s="18" t="s">
        <v>677</v>
      </c>
      <c r="I1955" s="79"/>
      <c r="J1955" s="80"/>
      <c r="K1955" s="27"/>
      <c r="L1955" s="27"/>
      <c r="M1955" s="27"/>
      <c r="N1955" s="28"/>
      <c r="O1955" s="27"/>
    </row>
    <row r="1956" spans="2:19" hidden="1" outlineLevel="1">
      <c r="B1956" s="12" t="s">
        <v>2403</v>
      </c>
      <c r="C1956" s="2" t="str">
        <f t="shared" si="22"/>
        <v>Show</v>
      </c>
      <c r="D1956" s="23"/>
      <c r="E1956" s="13"/>
      <c r="F1956" s="70"/>
      <c r="G1956" s="78" t="s">
        <v>121</v>
      </c>
      <c r="H1956" s="79" t="s">
        <v>2301</v>
      </c>
      <c r="I1956" s="79"/>
      <c r="J1956" s="80"/>
      <c r="O1956" s="80"/>
    </row>
    <row r="1957" spans="2:19" hidden="1" outlineLevel="1">
      <c r="B1957" s="77" t="s">
        <v>2404</v>
      </c>
      <c r="C1957" s="2" t="str">
        <f t="shared" si="22"/>
        <v>Show</v>
      </c>
      <c r="D1957" s="23"/>
      <c r="E1957" s="13">
        <v>1.2</v>
      </c>
      <c r="F1957" s="71" t="s">
        <v>131</v>
      </c>
      <c r="G1957" s="78"/>
      <c r="I1957" s="79"/>
      <c r="J1957" s="80"/>
      <c r="O1957" s="80"/>
    </row>
    <row r="1958" spans="2:19" ht="30" hidden="1" outlineLevel="1">
      <c r="B1958" s="77" t="s">
        <v>2405</v>
      </c>
      <c r="C1958" s="2" t="str">
        <f t="shared" si="22"/>
        <v>Show</v>
      </c>
      <c r="D1958" s="23"/>
      <c r="E1958" s="13"/>
      <c r="F1958" s="70" t="s">
        <v>119</v>
      </c>
      <c r="H1958" s="75" t="s">
        <v>3428</v>
      </c>
      <c r="I1958" s="79"/>
      <c r="J1958" s="80"/>
      <c r="O1958" s="80"/>
    </row>
    <row r="1959" spans="2:19" ht="30" hidden="1" outlineLevel="1">
      <c r="B1959" s="77" t="s">
        <v>2405</v>
      </c>
      <c r="C1959" s="2" t="str">
        <f t="shared" si="22"/>
        <v>Show</v>
      </c>
      <c r="D1959" s="23"/>
      <c r="E1959" s="13"/>
      <c r="F1959" s="70"/>
      <c r="G1959" s="78" t="s">
        <v>121</v>
      </c>
      <c r="H1959" s="75" t="s">
        <v>2406</v>
      </c>
      <c r="I1959" s="79"/>
      <c r="J1959" s="80"/>
      <c r="O1959" s="80"/>
    </row>
    <row r="1960" spans="2:19" hidden="1" outlineLevel="1">
      <c r="B1960" s="77" t="s">
        <v>2396</v>
      </c>
      <c r="C1960" s="2" t="str">
        <f t="shared" si="22"/>
        <v>Show</v>
      </c>
      <c r="D1960" s="23"/>
      <c r="E1960" s="13"/>
      <c r="F1960" s="70" t="s">
        <v>125</v>
      </c>
      <c r="H1960" s="75" t="s">
        <v>3429</v>
      </c>
      <c r="I1960" s="79"/>
      <c r="J1960" s="80"/>
      <c r="O1960" s="80"/>
    </row>
    <row r="1961" spans="2:19" hidden="1" outlineLevel="1">
      <c r="B1961" s="77" t="s">
        <v>2396</v>
      </c>
      <c r="C1961" s="2" t="str">
        <f t="shared" si="22"/>
        <v>Show</v>
      </c>
      <c r="D1961" s="23"/>
      <c r="E1961" s="13"/>
      <c r="F1961" s="70"/>
      <c r="G1961" s="78" t="s">
        <v>121</v>
      </c>
      <c r="H1961" s="75" t="s">
        <v>2398</v>
      </c>
      <c r="I1961" s="79"/>
      <c r="J1961" s="80"/>
      <c r="O1961" s="80"/>
    </row>
    <row r="1962" spans="2:19" ht="30" hidden="1" outlineLevel="1">
      <c r="B1962" s="77" t="s">
        <v>2281</v>
      </c>
      <c r="C1962" s="2" t="str">
        <f t="shared" si="22"/>
        <v>Show</v>
      </c>
      <c r="D1962" s="23"/>
      <c r="E1962" s="13"/>
      <c r="F1962" s="70" t="s">
        <v>158</v>
      </c>
      <c r="H1962" s="75" t="s">
        <v>3430</v>
      </c>
      <c r="I1962" s="79"/>
      <c r="J1962" s="80"/>
      <c r="O1962" s="80"/>
    </row>
    <row r="1963" spans="2:19" hidden="1" outlineLevel="1">
      <c r="B1963" s="77" t="s">
        <v>2281</v>
      </c>
      <c r="C1963" s="2" t="str">
        <f t="shared" si="22"/>
        <v>Show</v>
      </c>
      <c r="D1963" s="23"/>
      <c r="E1963" s="13"/>
      <c r="F1963" s="70"/>
      <c r="G1963" s="78" t="s">
        <v>121</v>
      </c>
      <c r="H1963" s="75" t="s">
        <v>2407</v>
      </c>
      <c r="I1963" s="79"/>
      <c r="J1963" s="80"/>
      <c r="O1963" s="80"/>
    </row>
    <row r="1964" spans="2:19" hidden="1" outlineLevel="1">
      <c r="B1964" s="12" t="s">
        <v>2403</v>
      </c>
      <c r="C1964" s="2" t="str">
        <f t="shared" si="22"/>
        <v>Show</v>
      </c>
      <c r="D1964" s="23" t="s">
        <v>613</v>
      </c>
      <c r="E1964" s="13"/>
      <c r="G1964" s="13"/>
      <c r="I1964" s="79"/>
      <c r="J1964" s="80"/>
      <c r="O1964" s="80"/>
    </row>
    <row r="1965" spans="2:19" hidden="1" outlineLevel="1">
      <c r="B1965" s="12" t="s">
        <v>2403</v>
      </c>
      <c r="C1965" s="2" t="str">
        <f t="shared" si="22"/>
        <v>Show</v>
      </c>
      <c r="D1965" s="23"/>
      <c r="E1965" s="77" t="str">
        <f>IF(OR('1. Criteria &amp; Spec Matrix'!C276="Show",'1. Criteria &amp; Spec Matrix'!E232="",'1. Criteria &amp; Spec Matrix'!E232='3. Dropdowns'!C276,'1. Criteria &amp; Spec Matrix'!E252='3. Dropdowns'!C298,'1. Criteria &amp; Spec Matrix'!E252='3. Dropdowns'!C299),"2.1 Product Requirements","(no EGC requirements)")</f>
        <v>2.1 Product Requirements</v>
      </c>
      <c r="G1965" s="13"/>
      <c r="I1965" s="79"/>
      <c r="J1965" s="80"/>
      <c r="O1965" s="80"/>
    </row>
    <row r="1966" spans="2:19" hidden="1" outlineLevel="1">
      <c r="B1966" s="77" t="s">
        <v>2402</v>
      </c>
      <c r="C1966" s="2" t="str">
        <f t="shared" si="22"/>
        <v>Show</v>
      </c>
      <c r="D1966" s="23"/>
      <c r="E1966" s="12"/>
      <c r="F1966" s="70" t="s">
        <v>119</v>
      </c>
      <c r="H1966" s="75" t="s">
        <v>3431</v>
      </c>
      <c r="I1966" s="79"/>
      <c r="J1966" s="80"/>
      <c r="O1966" s="80"/>
    </row>
    <row r="1967" spans="2:19" hidden="1" outlineLevel="1">
      <c r="B1967" s="77" t="s">
        <v>2402</v>
      </c>
      <c r="C1967" s="2" t="str">
        <f t="shared" si="22"/>
        <v>Show</v>
      </c>
      <c r="D1967" s="23"/>
      <c r="E1967" s="12"/>
      <c r="F1967" s="70"/>
      <c r="G1967" s="30" t="s">
        <v>121</v>
      </c>
      <c r="H1967" s="75" t="s">
        <v>2408</v>
      </c>
      <c r="I1967" s="79"/>
      <c r="J1967" s="80"/>
      <c r="O1967" s="80"/>
    </row>
    <row r="1968" spans="2:19" hidden="1" outlineLevel="1">
      <c r="B1968" s="77" t="s">
        <v>2396</v>
      </c>
      <c r="C1968" s="2" t="str">
        <f t="shared" si="22"/>
        <v>Show</v>
      </c>
      <c r="D1968" s="23"/>
      <c r="E1968" s="12"/>
      <c r="F1968" s="70" t="s">
        <v>125</v>
      </c>
      <c r="H1968" s="75" t="s">
        <v>3429</v>
      </c>
      <c r="I1968" s="79"/>
      <c r="J1968" s="80"/>
      <c r="O1968" s="80"/>
    </row>
    <row r="1969" spans="2:19" hidden="1" outlineLevel="1">
      <c r="B1969" s="77" t="s">
        <v>2396</v>
      </c>
      <c r="C1969" s="2" t="str">
        <f t="shared" si="22"/>
        <v>Show</v>
      </c>
      <c r="D1969" s="23"/>
      <c r="E1969" s="12"/>
      <c r="F1969" s="70"/>
      <c r="G1969" s="30" t="s">
        <v>121</v>
      </c>
      <c r="H1969" s="75" t="s">
        <v>2400</v>
      </c>
      <c r="I1969" s="79"/>
      <c r="J1969" s="80"/>
      <c r="O1969" s="80"/>
    </row>
    <row r="1970" spans="2:19" ht="30" hidden="1" outlineLevel="1">
      <c r="B1970" s="77" t="s">
        <v>2281</v>
      </c>
      <c r="C1970" s="2" t="str">
        <f t="shared" si="22"/>
        <v>Show</v>
      </c>
      <c r="D1970" s="23"/>
      <c r="E1970" s="12"/>
      <c r="F1970" s="70" t="s">
        <v>158</v>
      </c>
      <c r="H1970" s="75" t="s">
        <v>3430</v>
      </c>
      <c r="I1970" s="79"/>
      <c r="J1970" s="80"/>
      <c r="O1970" s="80"/>
    </row>
    <row r="1971" spans="2:19" hidden="1" outlineLevel="1">
      <c r="B1971" s="77" t="s">
        <v>2281</v>
      </c>
      <c r="C1971" s="2" t="str">
        <f t="shared" si="22"/>
        <v>Show</v>
      </c>
      <c r="D1971" s="23"/>
      <c r="E1971" s="12"/>
      <c r="G1971" s="30" t="s">
        <v>121</v>
      </c>
      <c r="H1971" s="75" t="s">
        <v>2409</v>
      </c>
      <c r="I1971" s="79"/>
      <c r="J1971" s="80"/>
      <c r="O1971" s="80"/>
    </row>
    <row r="1972" spans="2:19" hidden="1" outlineLevel="1">
      <c r="B1972" s="12" t="s">
        <v>2403</v>
      </c>
      <c r="C1972" s="2" t="str">
        <f t="shared" si="22"/>
        <v>Show</v>
      </c>
      <c r="D1972" s="23" t="s">
        <v>187</v>
      </c>
      <c r="E1972" s="13"/>
      <c r="G1972" s="13"/>
      <c r="I1972" s="79"/>
      <c r="J1972" s="80"/>
      <c r="O1972" s="80"/>
    </row>
    <row r="1973" spans="2:19" hidden="1" outlineLevel="1">
      <c r="B1973" s="12" t="s">
        <v>2403</v>
      </c>
      <c r="C1973" s="2" t="str">
        <f t="shared" si="22"/>
        <v>Show</v>
      </c>
      <c r="D1973" s="23"/>
      <c r="E1973" s="12" t="str">
        <f>IF(OR(C1974="Show",C1976="Show"),"3.1 Execution Requirements","(no EGC requirements)")</f>
        <v>3.1 Execution Requirements</v>
      </c>
      <c r="G1973" s="13"/>
      <c r="I1973" s="79"/>
      <c r="J1973" s="80"/>
      <c r="O1973" s="80"/>
    </row>
    <row r="1974" spans="2:19" ht="30" hidden="1" outlineLevel="1">
      <c r="B1974" s="77" t="s">
        <v>2405</v>
      </c>
      <c r="C1974" s="2" t="str">
        <f t="shared" si="22"/>
        <v>Show</v>
      </c>
      <c r="D1974" s="23"/>
      <c r="E1974" s="13"/>
      <c r="F1974" s="70" t="s">
        <v>119</v>
      </c>
      <c r="H1974" s="75" t="s">
        <v>3428</v>
      </c>
      <c r="I1974" s="79"/>
      <c r="J1974" s="80"/>
      <c r="O1974" s="80"/>
    </row>
    <row r="1975" spans="2:19" hidden="1" outlineLevel="1">
      <c r="B1975" s="77" t="s">
        <v>2405</v>
      </c>
      <c r="C1975" s="2" t="str">
        <f t="shared" si="22"/>
        <v>Show</v>
      </c>
      <c r="D1975" s="23"/>
      <c r="E1975" s="13"/>
      <c r="G1975" s="78" t="s">
        <v>121</v>
      </c>
      <c r="H1975" s="75" t="s">
        <v>2392</v>
      </c>
      <c r="I1975" s="79"/>
      <c r="J1975" s="80"/>
      <c r="O1975" s="80"/>
    </row>
    <row r="1976" spans="2:19" ht="30" hidden="1" outlineLevel="1">
      <c r="B1976" s="77" t="s">
        <v>2281</v>
      </c>
      <c r="C1976" s="2" t="str">
        <f t="shared" si="22"/>
        <v>Show</v>
      </c>
      <c r="D1976" s="23"/>
      <c r="E1976" s="13"/>
      <c r="F1976" s="70" t="s">
        <v>125</v>
      </c>
      <c r="H1976" s="75" t="s">
        <v>3430</v>
      </c>
      <c r="I1976" s="79"/>
      <c r="J1976" s="80"/>
      <c r="O1976" s="80"/>
    </row>
    <row r="1977" spans="2:19" hidden="1" outlineLevel="1">
      <c r="B1977" s="77" t="s">
        <v>2281</v>
      </c>
      <c r="C1977" s="2" t="str">
        <f t="shared" si="22"/>
        <v>Show</v>
      </c>
      <c r="D1977" s="23"/>
      <c r="E1977" s="13"/>
      <c r="G1977" s="78" t="s">
        <v>121</v>
      </c>
      <c r="H1977" s="75" t="s">
        <v>2392</v>
      </c>
      <c r="I1977" s="79"/>
      <c r="J1977" s="80"/>
      <c r="O1977" s="80"/>
    </row>
    <row r="1978" spans="2:19" hidden="1" outlineLevel="1">
      <c r="B1978" s="12" t="s">
        <v>2403</v>
      </c>
      <c r="C1978" s="2" t="str">
        <f t="shared" si="22"/>
        <v>Show</v>
      </c>
      <c r="D1978" s="23"/>
      <c r="E1978" s="13"/>
      <c r="G1978" s="78"/>
      <c r="I1978" s="79"/>
      <c r="J1978" s="80"/>
      <c r="O1978" s="80"/>
    </row>
    <row r="1979" spans="2:19" collapsed="1">
      <c r="B1979" s="12" t="s">
        <v>2403</v>
      </c>
      <c r="C1979" s="2" t="str">
        <f>C1925</f>
        <v>Show</v>
      </c>
      <c r="D1979" s="55" t="s">
        <v>1624</v>
      </c>
      <c r="E1979" s="56"/>
      <c r="F1979" s="57" t="s">
        <v>1606</v>
      </c>
      <c r="G1979" s="56"/>
      <c r="H1979" s="58"/>
      <c r="I1979" s="75"/>
    </row>
    <row r="1980" spans="2:19" hidden="1" outlineLevel="1">
      <c r="B1980" s="12" t="s">
        <v>2403</v>
      </c>
      <c r="C1980" s="2" t="str">
        <f t="shared" ref="C1980:C2005" si="23">C1926</f>
        <v>Show</v>
      </c>
      <c r="D1980" s="23" t="s">
        <v>117</v>
      </c>
      <c r="E1980" s="13"/>
      <c r="G1980" s="13"/>
      <c r="I1980" s="79"/>
      <c r="J1980" s="80"/>
      <c r="K1980" s="80"/>
      <c r="M1980" s="80"/>
      <c r="N1980" s="80"/>
      <c r="O1980" s="80"/>
      <c r="P1980" s="80"/>
      <c r="Q1980" s="80"/>
      <c r="R1980" s="81"/>
      <c r="S1980" s="80"/>
    </row>
    <row r="1981" spans="2:19" hidden="1" outlineLevel="1">
      <c r="B1981" s="12" t="s">
        <v>2403</v>
      </c>
      <c r="C1981" s="2" t="str">
        <f t="shared" si="23"/>
        <v>Show</v>
      </c>
      <c r="D1981" s="23"/>
      <c r="E1981" s="13">
        <v>1.1000000000000001</v>
      </c>
      <c r="F1981" s="11" t="s">
        <v>118</v>
      </c>
      <c r="G1981" s="13"/>
      <c r="I1981" s="79"/>
      <c r="J1981" s="80"/>
      <c r="O1981" s="80"/>
    </row>
    <row r="1982" spans="2:19" hidden="1" outlineLevel="1">
      <c r="B1982" s="12" t="s">
        <v>2403</v>
      </c>
      <c r="C1982" s="2" t="str">
        <f t="shared" si="23"/>
        <v>Show</v>
      </c>
      <c r="D1982" s="23"/>
      <c r="E1982" s="13"/>
      <c r="F1982" s="70" t="s">
        <v>119</v>
      </c>
      <c r="G1982" s="18" t="s">
        <v>677</v>
      </c>
      <c r="I1982" s="79"/>
      <c r="J1982" s="80"/>
      <c r="K1982" s="27"/>
      <c r="L1982" s="27"/>
      <c r="M1982" s="27"/>
      <c r="N1982" s="28"/>
      <c r="O1982" s="27"/>
    </row>
    <row r="1983" spans="2:19" hidden="1" outlineLevel="1">
      <c r="B1983" s="12" t="s">
        <v>2403</v>
      </c>
      <c r="C1983" s="2" t="str">
        <f t="shared" si="23"/>
        <v>Show</v>
      </c>
      <c r="D1983" s="23"/>
      <c r="E1983" s="13"/>
      <c r="F1983" s="70"/>
      <c r="G1983" s="78" t="s">
        <v>121</v>
      </c>
      <c r="H1983" s="79" t="s">
        <v>2301</v>
      </c>
      <c r="I1983" s="79"/>
      <c r="J1983" s="80"/>
      <c r="O1983" s="80"/>
    </row>
    <row r="1984" spans="2:19" hidden="1" outlineLevel="1">
      <c r="B1984" s="77" t="s">
        <v>2404</v>
      </c>
      <c r="C1984" s="2" t="str">
        <f t="shared" si="23"/>
        <v>Show</v>
      </c>
      <c r="D1984" s="23"/>
      <c r="E1984" s="13">
        <v>1.2</v>
      </c>
      <c r="F1984" s="71" t="s">
        <v>131</v>
      </c>
      <c r="G1984" s="78"/>
      <c r="I1984" s="79"/>
      <c r="J1984" s="80"/>
      <c r="O1984" s="80"/>
    </row>
    <row r="1985" spans="2:15" ht="30" hidden="1" outlineLevel="1">
      <c r="B1985" s="77" t="s">
        <v>2405</v>
      </c>
      <c r="C1985" s="2" t="str">
        <f t="shared" si="23"/>
        <v>Show</v>
      </c>
      <c r="D1985" s="23"/>
      <c r="E1985" s="13"/>
      <c r="F1985" s="70" t="s">
        <v>119</v>
      </c>
      <c r="H1985" s="75" t="s">
        <v>3428</v>
      </c>
      <c r="I1985" s="79"/>
      <c r="J1985" s="80"/>
      <c r="O1985" s="80"/>
    </row>
    <row r="1986" spans="2:15" ht="30" hidden="1" outlineLevel="1">
      <c r="B1986" s="77" t="s">
        <v>2405</v>
      </c>
      <c r="C1986" s="2" t="str">
        <f t="shared" si="23"/>
        <v>Show</v>
      </c>
      <c r="D1986" s="23"/>
      <c r="E1986" s="13"/>
      <c r="F1986" s="70"/>
      <c r="G1986" s="78" t="s">
        <v>121</v>
      </c>
      <c r="H1986" s="75" t="s">
        <v>2406</v>
      </c>
      <c r="I1986" s="79"/>
      <c r="J1986" s="80"/>
      <c r="O1986" s="80"/>
    </row>
    <row r="1987" spans="2:15" hidden="1" outlineLevel="1">
      <c r="B1987" s="77" t="s">
        <v>2396</v>
      </c>
      <c r="C1987" s="2" t="str">
        <f t="shared" si="23"/>
        <v>Show</v>
      </c>
      <c r="D1987" s="23"/>
      <c r="E1987" s="13"/>
      <c r="F1987" s="70" t="s">
        <v>125</v>
      </c>
      <c r="H1987" s="75" t="s">
        <v>3429</v>
      </c>
      <c r="I1987" s="79"/>
      <c r="J1987" s="80"/>
      <c r="O1987" s="80"/>
    </row>
    <row r="1988" spans="2:15" hidden="1" outlineLevel="1">
      <c r="B1988" s="77" t="s">
        <v>2396</v>
      </c>
      <c r="C1988" s="2" t="str">
        <f t="shared" si="23"/>
        <v>Show</v>
      </c>
      <c r="D1988" s="23"/>
      <c r="E1988" s="13"/>
      <c r="F1988" s="70"/>
      <c r="G1988" s="78" t="s">
        <v>121</v>
      </c>
      <c r="H1988" s="75" t="s">
        <v>2398</v>
      </c>
      <c r="I1988" s="79"/>
      <c r="J1988" s="80"/>
      <c r="O1988" s="80"/>
    </row>
    <row r="1989" spans="2:15" ht="30" hidden="1" outlineLevel="1">
      <c r="B1989" s="77" t="s">
        <v>2281</v>
      </c>
      <c r="C1989" s="2" t="str">
        <f t="shared" si="23"/>
        <v>Show</v>
      </c>
      <c r="D1989" s="23"/>
      <c r="E1989" s="13"/>
      <c r="F1989" s="70" t="s">
        <v>158</v>
      </c>
      <c r="H1989" s="75" t="s">
        <v>3430</v>
      </c>
      <c r="I1989" s="79"/>
      <c r="J1989" s="80"/>
      <c r="O1989" s="80"/>
    </row>
    <row r="1990" spans="2:15" hidden="1" outlineLevel="1">
      <c r="B1990" s="77" t="s">
        <v>2281</v>
      </c>
      <c r="C1990" s="2" t="str">
        <f t="shared" si="23"/>
        <v>Show</v>
      </c>
      <c r="D1990" s="23"/>
      <c r="E1990" s="13"/>
      <c r="F1990" s="70"/>
      <c r="G1990" s="78" t="s">
        <v>121</v>
      </c>
      <c r="H1990" s="75" t="s">
        <v>2407</v>
      </c>
      <c r="I1990" s="79"/>
      <c r="J1990" s="80"/>
      <c r="O1990" s="80"/>
    </row>
    <row r="1991" spans="2:15" hidden="1" outlineLevel="1">
      <c r="B1991" s="12" t="s">
        <v>2403</v>
      </c>
      <c r="C1991" s="2" t="str">
        <f t="shared" si="23"/>
        <v>Show</v>
      </c>
      <c r="D1991" s="23" t="s">
        <v>613</v>
      </c>
      <c r="E1991" s="13"/>
      <c r="G1991" s="13"/>
      <c r="I1991" s="79"/>
      <c r="J1991" s="80"/>
      <c r="O1991" s="80"/>
    </row>
    <row r="1992" spans="2:15" hidden="1" outlineLevel="1">
      <c r="B1992" s="12" t="s">
        <v>2403</v>
      </c>
      <c r="C1992" s="2" t="str">
        <f t="shared" si="23"/>
        <v>Show</v>
      </c>
      <c r="D1992" s="23"/>
      <c r="E1992" s="77" t="str">
        <f>IF(OR('1. Criteria &amp; Spec Matrix'!C303="Show",'1. Criteria &amp; Spec Matrix'!E259="",'1. Criteria &amp; Spec Matrix'!E259='3. Dropdowns'!C305,'1. Criteria &amp; Spec Matrix'!E279='3. Dropdowns'!C325,'1. Criteria &amp; Spec Matrix'!E279='3. Dropdowns'!C326),"2.1 Product Requirements","(no EGC requirements)")</f>
        <v>2.1 Product Requirements</v>
      </c>
      <c r="G1992" s="13"/>
      <c r="I1992" s="79"/>
      <c r="J1992" s="80"/>
      <c r="O1992" s="80"/>
    </row>
    <row r="1993" spans="2:15" hidden="1" outlineLevel="1">
      <c r="B1993" s="77" t="s">
        <v>2402</v>
      </c>
      <c r="C1993" s="2" t="str">
        <f t="shared" si="23"/>
        <v>Show</v>
      </c>
      <c r="D1993" s="23"/>
      <c r="E1993" s="12"/>
      <c r="F1993" s="70" t="s">
        <v>119</v>
      </c>
      <c r="H1993" s="75" t="s">
        <v>3431</v>
      </c>
      <c r="I1993" s="79"/>
      <c r="J1993" s="80"/>
      <c r="O1993" s="80"/>
    </row>
    <row r="1994" spans="2:15" hidden="1" outlineLevel="1">
      <c r="B1994" s="77" t="s">
        <v>2402</v>
      </c>
      <c r="C1994" s="2" t="str">
        <f t="shared" si="23"/>
        <v>Show</v>
      </c>
      <c r="D1994" s="23"/>
      <c r="E1994" s="12"/>
      <c r="F1994" s="70"/>
      <c r="G1994" s="30" t="s">
        <v>121</v>
      </c>
      <c r="H1994" s="75" t="s">
        <v>2408</v>
      </c>
      <c r="I1994" s="79"/>
      <c r="J1994" s="80"/>
      <c r="O1994" s="80"/>
    </row>
    <row r="1995" spans="2:15" hidden="1" outlineLevel="1">
      <c r="B1995" s="77" t="s">
        <v>2396</v>
      </c>
      <c r="C1995" s="2" t="str">
        <f t="shared" si="23"/>
        <v>Show</v>
      </c>
      <c r="D1995" s="23"/>
      <c r="E1995" s="12"/>
      <c r="F1995" s="70" t="s">
        <v>125</v>
      </c>
      <c r="H1995" s="75" t="s">
        <v>3429</v>
      </c>
      <c r="I1995" s="79"/>
      <c r="J1995" s="80"/>
      <c r="O1995" s="80"/>
    </row>
    <row r="1996" spans="2:15" hidden="1" outlineLevel="1">
      <c r="B1996" s="77" t="s">
        <v>2396</v>
      </c>
      <c r="C1996" s="2" t="str">
        <f t="shared" si="23"/>
        <v>Show</v>
      </c>
      <c r="D1996" s="23"/>
      <c r="E1996" s="12"/>
      <c r="F1996" s="70"/>
      <c r="G1996" s="30" t="s">
        <v>121</v>
      </c>
      <c r="H1996" s="75" t="s">
        <v>2400</v>
      </c>
      <c r="I1996" s="79"/>
      <c r="J1996" s="80"/>
      <c r="O1996" s="80"/>
    </row>
    <row r="1997" spans="2:15" ht="30" hidden="1" outlineLevel="1">
      <c r="B1997" s="77" t="s">
        <v>2281</v>
      </c>
      <c r="C1997" s="2" t="str">
        <f t="shared" si="23"/>
        <v>Show</v>
      </c>
      <c r="D1997" s="23"/>
      <c r="E1997" s="12"/>
      <c r="F1997" s="70" t="s">
        <v>158</v>
      </c>
      <c r="H1997" s="75" t="s">
        <v>3430</v>
      </c>
      <c r="I1997" s="79"/>
      <c r="J1997" s="80"/>
      <c r="O1997" s="80"/>
    </row>
    <row r="1998" spans="2:15" hidden="1" outlineLevel="1">
      <c r="B1998" s="77" t="s">
        <v>2281</v>
      </c>
      <c r="C1998" s="2" t="str">
        <f t="shared" si="23"/>
        <v>Show</v>
      </c>
      <c r="D1998" s="23"/>
      <c r="E1998" s="12"/>
      <c r="G1998" s="30" t="s">
        <v>121</v>
      </c>
      <c r="H1998" s="75" t="s">
        <v>2409</v>
      </c>
      <c r="I1998" s="79"/>
      <c r="J1998" s="80"/>
      <c r="O1998" s="80"/>
    </row>
    <row r="1999" spans="2:15" hidden="1" outlineLevel="1">
      <c r="B1999" s="12" t="s">
        <v>2403</v>
      </c>
      <c r="C1999" s="2" t="str">
        <f t="shared" si="23"/>
        <v>Show</v>
      </c>
      <c r="D1999" s="23" t="s">
        <v>187</v>
      </c>
      <c r="E1999" s="13"/>
      <c r="G1999" s="13"/>
      <c r="I1999" s="79"/>
      <c r="J1999" s="80"/>
      <c r="O1999" s="80"/>
    </row>
    <row r="2000" spans="2:15" hidden="1" outlineLevel="1">
      <c r="B2000" s="12" t="s">
        <v>2403</v>
      </c>
      <c r="C2000" s="2" t="str">
        <f t="shared" si="23"/>
        <v>Show</v>
      </c>
      <c r="D2000" s="23"/>
      <c r="E2000" s="12" t="str">
        <f>IF(OR(C2001="Show",C2003="Show"),"3.1 Execution Requirements","(no EGC requirements)")</f>
        <v>3.1 Execution Requirements</v>
      </c>
      <c r="G2000" s="13"/>
      <c r="I2000" s="79"/>
      <c r="J2000" s="80"/>
      <c r="O2000" s="80"/>
    </row>
    <row r="2001" spans="2:15" ht="30" hidden="1" outlineLevel="1">
      <c r="B2001" s="77" t="s">
        <v>2405</v>
      </c>
      <c r="C2001" s="2" t="str">
        <f t="shared" si="23"/>
        <v>Show</v>
      </c>
      <c r="D2001" s="23"/>
      <c r="E2001" s="13"/>
      <c r="F2001" s="70" t="s">
        <v>119</v>
      </c>
      <c r="H2001" s="75" t="s">
        <v>3428</v>
      </c>
      <c r="I2001" s="79"/>
      <c r="J2001" s="80"/>
      <c r="O2001" s="80"/>
    </row>
    <row r="2002" spans="2:15" hidden="1" outlineLevel="1">
      <c r="B2002" s="77" t="s">
        <v>2405</v>
      </c>
      <c r="C2002" s="2" t="str">
        <f t="shared" si="23"/>
        <v>Show</v>
      </c>
      <c r="D2002" s="23"/>
      <c r="E2002" s="13"/>
      <c r="G2002" s="78" t="s">
        <v>121</v>
      </c>
      <c r="H2002" s="75" t="s">
        <v>2392</v>
      </c>
      <c r="I2002" s="79"/>
      <c r="J2002" s="80"/>
      <c r="O2002" s="80"/>
    </row>
    <row r="2003" spans="2:15" ht="30" hidden="1" outlineLevel="1">
      <c r="B2003" s="77" t="s">
        <v>2281</v>
      </c>
      <c r="C2003" s="2" t="str">
        <f t="shared" si="23"/>
        <v>Show</v>
      </c>
      <c r="D2003" s="23"/>
      <c r="E2003" s="13"/>
      <c r="F2003" s="70" t="s">
        <v>125</v>
      </c>
      <c r="H2003" s="75" t="s">
        <v>3430</v>
      </c>
      <c r="I2003" s="79"/>
      <c r="J2003" s="80"/>
      <c r="O2003" s="80"/>
    </row>
    <row r="2004" spans="2:15" hidden="1" outlineLevel="1">
      <c r="B2004" s="77" t="s">
        <v>2281</v>
      </c>
      <c r="C2004" s="2" t="str">
        <f t="shared" si="23"/>
        <v>Show</v>
      </c>
      <c r="D2004" s="23"/>
      <c r="E2004" s="13"/>
      <c r="G2004" s="78" t="s">
        <v>121</v>
      </c>
      <c r="H2004" s="75" t="s">
        <v>2392</v>
      </c>
      <c r="I2004" s="79"/>
      <c r="J2004" s="80"/>
      <c r="O2004" s="80"/>
    </row>
    <row r="2005" spans="2:15" hidden="1" outlineLevel="1">
      <c r="B2005" s="12" t="s">
        <v>2403</v>
      </c>
      <c r="C2005" s="2" t="str">
        <f t="shared" si="23"/>
        <v>Show</v>
      </c>
      <c r="D2005" s="23"/>
      <c r="E2005" s="13"/>
      <c r="G2005" s="78"/>
      <c r="I2005" s="79"/>
      <c r="J2005" s="80"/>
      <c r="O2005" s="80"/>
    </row>
    <row r="2006" spans="2:15" collapsed="1">
      <c r="B2006" s="76" t="s">
        <v>2410</v>
      </c>
      <c r="C2006" s="7" t="str">
        <f>C1903</f>
        <v>Show</v>
      </c>
      <c r="D2006" s="23"/>
      <c r="F2006" s="12"/>
    </row>
    <row r="2007" spans="2:15">
      <c r="B2007" s="76" t="s">
        <v>2507</v>
      </c>
      <c r="C2007" s="7" t="str">
        <f>C43</f>
        <v>Show</v>
      </c>
      <c r="D2007" s="38" t="s">
        <v>548</v>
      </c>
      <c r="E2007" s="44"/>
      <c r="F2007" s="39"/>
      <c r="G2007" s="39"/>
      <c r="H2007" s="41"/>
      <c r="I2007" s="75"/>
    </row>
    <row r="2008" spans="2:15">
      <c r="B2008" s="12" t="s">
        <v>2411</v>
      </c>
      <c r="C2008" s="2" t="str">
        <f>IF(OR('1. Criteria &amp; Spec Matrix'!E66="",'1. Criteria &amp; Spec Matrix'!E66='3. Dropdowns'!C112),"Show","Hide")</f>
        <v>Show</v>
      </c>
      <c r="D2008" s="51" t="s">
        <v>240</v>
      </c>
      <c r="E2008" s="56"/>
      <c r="F2008" s="52" t="s">
        <v>241</v>
      </c>
      <c r="G2008" s="56"/>
      <c r="H2008" s="58"/>
      <c r="I2008" s="75"/>
    </row>
    <row r="2009" spans="2:15" hidden="1" outlineLevel="1">
      <c r="B2009" s="12" t="s">
        <v>2411</v>
      </c>
      <c r="C2009" s="74" t="str">
        <f>C2008</f>
        <v>Show</v>
      </c>
      <c r="D2009" s="23" t="s">
        <v>117</v>
      </c>
      <c r="E2009" s="13"/>
      <c r="G2009" s="13"/>
    </row>
    <row r="2010" spans="2:15" hidden="1" outlineLevel="1">
      <c r="B2010" s="12" t="s">
        <v>2411</v>
      </c>
      <c r="C2010" s="74" t="str">
        <f>C2008</f>
        <v>Show</v>
      </c>
      <c r="D2010" s="23"/>
      <c r="E2010" s="13">
        <v>1.1000000000000001</v>
      </c>
      <c r="F2010" s="11" t="s">
        <v>118</v>
      </c>
      <c r="G2010" s="13"/>
    </row>
    <row r="2011" spans="2:15" hidden="1" outlineLevel="1">
      <c r="B2011" s="12" t="s">
        <v>2411</v>
      </c>
      <c r="C2011" s="74" t="str">
        <f>C2008</f>
        <v>Show</v>
      </c>
      <c r="D2011" s="23"/>
      <c r="E2011" s="13"/>
      <c r="F2011" s="70" t="s">
        <v>119</v>
      </c>
      <c r="G2011" s="18" t="s">
        <v>677</v>
      </c>
    </row>
    <row r="2012" spans="2:15" hidden="1" outlineLevel="1">
      <c r="B2012" s="12" t="s">
        <v>2411</v>
      </c>
      <c r="C2012" s="74" t="str">
        <f>C2008</f>
        <v>Show</v>
      </c>
      <c r="D2012" s="23"/>
      <c r="E2012" s="13"/>
      <c r="F2012" s="70"/>
      <c r="G2012" s="78" t="s">
        <v>121</v>
      </c>
      <c r="H2012" s="79" t="s">
        <v>2301</v>
      </c>
    </row>
    <row r="2013" spans="2:15" hidden="1" outlineLevel="1">
      <c r="B2013" s="12" t="s">
        <v>2411</v>
      </c>
      <c r="C2013" s="74" t="str">
        <f>C2008</f>
        <v>Show</v>
      </c>
      <c r="D2013" s="23"/>
      <c r="E2013" s="13">
        <v>1.2</v>
      </c>
      <c r="F2013" s="71" t="s">
        <v>131</v>
      </c>
      <c r="G2013" s="78"/>
    </row>
    <row r="2014" spans="2:15" hidden="1" outlineLevel="1">
      <c r="B2014" s="12" t="s">
        <v>2411</v>
      </c>
      <c r="C2014" s="74" t="str">
        <f>C2008</f>
        <v>Show</v>
      </c>
      <c r="D2014" s="23"/>
      <c r="E2014" s="13"/>
      <c r="F2014" s="70" t="s">
        <v>119</v>
      </c>
      <c r="G2014" s="12" t="s">
        <v>3432</v>
      </c>
    </row>
    <row r="2015" spans="2:15" hidden="1" outlineLevel="1">
      <c r="B2015" s="12" t="s">
        <v>2411</v>
      </c>
      <c r="C2015" s="74" t="str">
        <f>C2008</f>
        <v>Show</v>
      </c>
      <c r="D2015" s="23"/>
      <c r="E2015" s="13"/>
      <c r="F2015" s="70"/>
      <c r="G2015" s="78" t="s">
        <v>121</v>
      </c>
      <c r="H2015" s="75" t="s">
        <v>2397</v>
      </c>
    </row>
    <row r="2016" spans="2:15" hidden="1" outlineLevel="1">
      <c r="B2016" s="12" t="s">
        <v>2411</v>
      </c>
      <c r="C2016" s="74" t="str">
        <f>C2008</f>
        <v>Show</v>
      </c>
      <c r="D2016" s="23" t="s">
        <v>613</v>
      </c>
      <c r="E2016" s="13"/>
      <c r="G2016" s="13"/>
    </row>
    <row r="2017" spans="2:9" hidden="1" outlineLevel="1">
      <c r="B2017" s="12" t="s">
        <v>2411</v>
      </c>
      <c r="C2017" s="74" t="str">
        <f>C2008</f>
        <v>Show</v>
      </c>
      <c r="D2017" s="23"/>
      <c r="E2017" s="12" t="s">
        <v>2320</v>
      </c>
      <c r="G2017" s="13"/>
    </row>
    <row r="2018" spans="2:9" hidden="1" outlineLevel="1">
      <c r="B2018" s="12" t="s">
        <v>2411</v>
      </c>
      <c r="C2018" s="74" t="str">
        <f>C2008</f>
        <v>Show</v>
      </c>
      <c r="D2018" s="23"/>
      <c r="E2018" s="12"/>
      <c r="F2018" s="11" t="s">
        <v>119</v>
      </c>
      <c r="G2018" s="12" t="s">
        <v>3432</v>
      </c>
    </row>
    <row r="2019" spans="2:9" hidden="1" outlineLevel="1">
      <c r="B2019" s="12" t="s">
        <v>2411</v>
      </c>
      <c r="C2019" s="74" t="str">
        <f>C2008</f>
        <v>Show</v>
      </c>
      <c r="D2019" s="23"/>
      <c r="E2019" s="12"/>
      <c r="G2019" s="30" t="s">
        <v>121</v>
      </c>
      <c r="H2019" s="75" t="s">
        <v>2399</v>
      </c>
    </row>
    <row r="2020" spans="2:9" hidden="1" outlineLevel="1">
      <c r="B2020" s="12" t="s">
        <v>2411</v>
      </c>
      <c r="C2020" s="74" t="str">
        <f>C2008</f>
        <v>Show</v>
      </c>
      <c r="D2020" s="23" t="s">
        <v>187</v>
      </c>
      <c r="E2020" s="13"/>
      <c r="G2020" s="13"/>
    </row>
    <row r="2021" spans="2:9" hidden="1" outlineLevel="1">
      <c r="B2021" s="12" t="s">
        <v>2411</v>
      </c>
      <c r="C2021" s="74" t="str">
        <f>C2008</f>
        <v>Show</v>
      </c>
      <c r="D2021" s="23"/>
      <c r="E2021" s="13">
        <v>3.1</v>
      </c>
      <c r="F2021" s="11" t="s">
        <v>616</v>
      </c>
      <c r="G2021" s="13"/>
    </row>
    <row r="2022" spans="2:9" hidden="1" outlineLevel="1">
      <c r="B2022" s="12" t="s">
        <v>2411</v>
      </c>
      <c r="C2022" s="74" t="str">
        <f>C2008</f>
        <v>Show</v>
      </c>
      <c r="D2022" s="23"/>
      <c r="E2022" s="13"/>
      <c r="F2022" s="70" t="s">
        <v>119</v>
      </c>
      <c r="G2022" s="12" t="s">
        <v>3432</v>
      </c>
    </row>
    <row r="2023" spans="2:9" ht="30" hidden="1" outlineLevel="1">
      <c r="B2023" s="12" t="s">
        <v>2411</v>
      </c>
      <c r="C2023" s="74" t="str">
        <f>C2008</f>
        <v>Show</v>
      </c>
      <c r="D2023" s="23"/>
      <c r="E2023" s="13"/>
      <c r="G2023" s="78" t="s">
        <v>121</v>
      </c>
      <c r="H2023" s="75" t="s">
        <v>2401</v>
      </c>
    </row>
    <row r="2024" spans="2:9" hidden="1" outlineLevel="1">
      <c r="B2024" s="12" t="s">
        <v>2411</v>
      </c>
      <c r="C2024" s="74" t="str">
        <f>C2008</f>
        <v>Show</v>
      </c>
      <c r="D2024" s="23"/>
      <c r="E2024" s="13"/>
      <c r="G2024" s="78"/>
    </row>
    <row r="2025" spans="2:9" collapsed="1">
      <c r="B2025" s="12" t="s">
        <v>2411</v>
      </c>
      <c r="C2025" s="2" t="str">
        <f>C2008</f>
        <v>Show</v>
      </c>
      <c r="D2025" s="55" t="s">
        <v>1793</v>
      </c>
      <c r="E2025" s="56"/>
      <c r="F2025" s="57" t="s">
        <v>1794</v>
      </c>
      <c r="G2025" s="56"/>
      <c r="H2025" s="58"/>
      <c r="I2025" s="75"/>
    </row>
    <row r="2026" spans="2:9" hidden="1" outlineLevel="1">
      <c r="B2026" s="12" t="s">
        <v>2411</v>
      </c>
      <c r="C2026" s="74" t="str">
        <f>C2008</f>
        <v>Show</v>
      </c>
      <c r="D2026" s="23" t="s">
        <v>117</v>
      </c>
      <c r="E2026" s="13"/>
      <c r="G2026" s="13"/>
    </row>
    <row r="2027" spans="2:9" hidden="1" outlineLevel="1">
      <c r="B2027" s="12" t="s">
        <v>2411</v>
      </c>
      <c r="C2027" s="74" t="str">
        <f>C2008</f>
        <v>Show</v>
      </c>
      <c r="D2027" s="23"/>
      <c r="E2027" s="13">
        <v>1.1000000000000001</v>
      </c>
      <c r="F2027" s="11" t="s">
        <v>118</v>
      </c>
      <c r="G2027" s="13"/>
    </row>
    <row r="2028" spans="2:9" hidden="1" outlineLevel="1">
      <c r="B2028" s="12" t="s">
        <v>2411</v>
      </c>
      <c r="C2028" s="74" t="str">
        <f>C2008</f>
        <v>Show</v>
      </c>
      <c r="D2028" s="23"/>
      <c r="E2028" s="13"/>
      <c r="F2028" s="70" t="s">
        <v>119</v>
      </c>
      <c r="G2028" s="18" t="s">
        <v>677</v>
      </c>
    </row>
    <row r="2029" spans="2:9" hidden="1" outlineLevel="1">
      <c r="B2029" s="12" t="s">
        <v>2411</v>
      </c>
      <c r="C2029" s="74" t="str">
        <f>C2008</f>
        <v>Show</v>
      </c>
      <c r="D2029" s="23"/>
      <c r="E2029" s="13"/>
      <c r="F2029" s="70"/>
      <c r="G2029" s="78" t="s">
        <v>121</v>
      </c>
      <c r="H2029" s="79" t="s">
        <v>2301</v>
      </c>
    </row>
    <row r="2030" spans="2:9" hidden="1" outlineLevel="1">
      <c r="B2030" s="12" t="s">
        <v>2411</v>
      </c>
      <c r="C2030" s="74" t="str">
        <f>C2008</f>
        <v>Show</v>
      </c>
      <c r="D2030" s="23"/>
      <c r="E2030" s="13">
        <v>1.2</v>
      </c>
      <c r="F2030" s="71" t="s">
        <v>131</v>
      </c>
      <c r="G2030" s="78"/>
    </row>
    <row r="2031" spans="2:9" hidden="1" outlineLevel="1">
      <c r="B2031" s="12" t="s">
        <v>2411</v>
      </c>
      <c r="C2031" s="74" t="str">
        <f>C2008</f>
        <v>Show</v>
      </c>
      <c r="D2031" s="23"/>
      <c r="E2031" s="13"/>
      <c r="F2031" s="70" t="s">
        <v>119</v>
      </c>
      <c r="G2031" s="12" t="s">
        <v>3432</v>
      </c>
    </row>
    <row r="2032" spans="2:9" hidden="1" outlineLevel="1">
      <c r="B2032" s="12" t="s">
        <v>2411</v>
      </c>
      <c r="C2032" s="74" t="str">
        <f>C2008</f>
        <v>Show</v>
      </c>
      <c r="D2032" s="23"/>
      <c r="E2032" s="13"/>
      <c r="F2032" s="70"/>
      <c r="G2032" s="78" t="s">
        <v>121</v>
      </c>
      <c r="H2032" s="75" t="s">
        <v>2397</v>
      </c>
    </row>
    <row r="2033" spans="2:8" hidden="1" outlineLevel="1">
      <c r="B2033" s="12" t="s">
        <v>2411</v>
      </c>
      <c r="C2033" s="74" t="str">
        <f>C2008</f>
        <v>Show</v>
      </c>
      <c r="D2033" s="23" t="s">
        <v>613</v>
      </c>
      <c r="E2033" s="13"/>
      <c r="G2033" s="13"/>
    </row>
    <row r="2034" spans="2:8" hidden="1" outlineLevel="1">
      <c r="B2034" s="12" t="s">
        <v>2411</v>
      </c>
      <c r="C2034" s="74" t="str">
        <f>C2008</f>
        <v>Show</v>
      </c>
      <c r="D2034" s="23"/>
      <c r="E2034" s="12" t="s">
        <v>2320</v>
      </c>
      <c r="G2034" s="13"/>
    </row>
    <row r="2035" spans="2:8" hidden="1" outlineLevel="1">
      <c r="B2035" s="12" t="s">
        <v>2411</v>
      </c>
      <c r="C2035" s="74" t="str">
        <f>C2008</f>
        <v>Show</v>
      </c>
      <c r="D2035" s="23"/>
      <c r="E2035" s="12"/>
      <c r="F2035" s="11" t="s">
        <v>119</v>
      </c>
      <c r="G2035" s="12" t="s">
        <v>3432</v>
      </c>
    </row>
    <row r="2036" spans="2:8" hidden="1" outlineLevel="1">
      <c r="B2036" s="12" t="s">
        <v>2411</v>
      </c>
      <c r="C2036" s="74" t="str">
        <f>C2008</f>
        <v>Show</v>
      </c>
      <c r="D2036" s="23"/>
      <c r="E2036" s="12"/>
      <c r="G2036" s="30" t="s">
        <v>121</v>
      </c>
      <c r="H2036" s="75" t="s">
        <v>2399</v>
      </c>
    </row>
    <row r="2037" spans="2:8" hidden="1" outlineLevel="1">
      <c r="B2037" s="12" t="s">
        <v>2411</v>
      </c>
      <c r="C2037" s="74" t="str">
        <f>C2008</f>
        <v>Show</v>
      </c>
      <c r="D2037" s="23" t="s">
        <v>187</v>
      </c>
      <c r="E2037" s="13"/>
      <c r="G2037" s="13"/>
    </row>
    <row r="2038" spans="2:8" hidden="1" outlineLevel="1">
      <c r="B2038" s="12" t="s">
        <v>2411</v>
      </c>
      <c r="C2038" s="74" t="str">
        <f>C2008</f>
        <v>Show</v>
      </c>
      <c r="D2038" s="23"/>
      <c r="E2038" s="13">
        <v>3.1</v>
      </c>
      <c r="F2038" s="11" t="s">
        <v>616</v>
      </c>
      <c r="G2038" s="13"/>
    </row>
    <row r="2039" spans="2:8" hidden="1" outlineLevel="1">
      <c r="B2039" s="12" t="s">
        <v>2411</v>
      </c>
      <c r="C2039" s="74" t="str">
        <f>C2008</f>
        <v>Show</v>
      </c>
      <c r="D2039" s="23"/>
      <c r="E2039" s="13"/>
      <c r="F2039" s="70" t="s">
        <v>119</v>
      </c>
      <c r="G2039" s="12" t="s">
        <v>3432</v>
      </c>
    </row>
    <row r="2040" spans="2:8" ht="30" hidden="1" outlineLevel="1">
      <c r="B2040" s="12" t="s">
        <v>2411</v>
      </c>
      <c r="C2040" s="74" t="str">
        <f>C2008</f>
        <v>Show</v>
      </c>
      <c r="D2040" s="23"/>
      <c r="E2040" s="13"/>
      <c r="G2040" s="78" t="s">
        <v>121</v>
      </c>
      <c r="H2040" s="75" t="s">
        <v>2401</v>
      </c>
    </row>
    <row r="2041" spans="2:8" hidden="1" outlineLevel="1">
      <c r="B2041" s="12" t="s">
        <v>2411</v>
      </c>
      <c r="C2041" s="74" t="str">
        <f>C2008</f>
        <v>Show</v>
      </c>
      <c r="D2041" s="23"/>
      <c r="E2041" s="13"/>
      <c r="G2041" s="78"/>
    </row>
    <row r="2042" spans="2:8" collapsed="1">
      <c r="B2042" s="12" t="s">
        <v>2412</v>
      </c>
      <c r="C2042" s="2" t="str">
        <f>IF(OR('1. Criteria &amp; Spec Matrix'!E66="",'1. Criteria &amp; Spec Matrix'!E66='3. Dropdowns'!C112,'1. Criteria &amp; Spec Matrix'!E205='3. Dropdowns'!C249,'1. Criteria &amp; Spec Matrix'!E205=""),"Show","Hide")</f>
        <v>Show</v>
      </c>
      <c r="D2042" s="55" t="s">
        <v>242</v>
      </c>
      <c r="E2042" s="56"/>
      <c r="F2042" s="57" t="s">
        <v>243</v>
      </c>
      <c r="G2042" s="56"/>
      <c r="H2042" s="58"/>
    </row>
    <row r="2043" spans="2:8" hidden="1" outlineLevel="1">
      <c r="B2043" s="12" t="s">
        <v>2412</v>
      </c>
      <c r="C2043" s="2" t="str">
        <f>C2042</f>
        <v>Show</v>
      </c>
      <c r="D2043" s="23" t="s">
        <v>117</v>
      </c>
      <c r="E2043" s="13"/>
      <c r="G2043" s="13"/>
    </row>
    <row r="2044" spans="2:8" hidden="1" outlineLevel="1">
      <c r="B2044" s="12" t="s">
        <v>2412</v>
      </c>
      <c r="C2044" s="2" t="str">
        <f>C2042</f>
        <v>Show</v>
      </c>
      <c r="D2044" s="23"/>
      <c r="E2044" s="13">
        <v>1.1000000000000001</v>
      </c>
      <c r="F2044" s="11" t="s">
        <v>118</v>
      </c>
      <c r="G2044" s="13"/>
    </row>
    <row r="2045" spans="2:8" hidden="1" outlineLevel="1">
      <c r="B2045" s="12" t="s">
        <v>2412</v>
      </c>
      <c r="C2045" s="2" t="str">
        <f>C2042</f>
        <v>Show</v>
      </c>
      <c r="D2045" s="23"/>
      <c r="E2045" s="13"/>
      <c r="F2045" s="70" t="s">
        <v>119</v>
      </c>
      <c r="G2045" s="18" t="s">
        <v>677</v>
      </c>
    </row>
    <row r="2046" spans="2:8" hidden="1" outlineLevel="1">
      <c r="B2046" s="12" t="s">
        <v>2412</v>
      </c>
      <c r="C2046" s="2" t="str">
        <f>C2042</f>
        <v>Show</v>
      </c>
      <c r="D2046" s="23"/>
      <c r="E2046" s="13"/>
      <c r="F2046" s="70"/>
      <c r="G2046" s="78" t="s">
        <v>121</v>
      </c>
      <c r="H2046" s="79" t="s">
        <v>2301</v>
      </c>
    </row>
    <row r="2047" spans="2:8" hidden="1" outlineLevel="1">
      <c r="B2047" s="12" t="s">
        <v>2411</v>
      </c>
      <c r="C2047" s="2" t="str">
        <f>C2008</f>
        <v>Show</v>
      </c>
      <c r="D2047" s="23"/>
      <c r="E2047" s="13">
        <v>1.2</v>
      </c>
      <c r="F2047" s="71" t="s">
        <v>131</v>
      </c>
      <c r="G2047" s="78"/>
    </row>
    <row r="2048" spans="2:8" hidden="1" outlineLevel="1">
      <c r="B2048" s="12" t="s">
        <v>2411</v>
      </c>
      <c r="C2048" s="2" t="str">
        <f>C2008</f>
        <v>Show</v>
      </c>
      <c r="D2048" s="23"/>
      <c r="E2048" s="13"/>
      <c r="F2048" s="70" t="str">
        <f>IF(C2046="Show","B.","A.")</f>
        <v>B.</v>
      </c>
      <c r="G2048" s="12" t="s">
        <v>3432</v>
      </c>
    </row>
    <row r="2049" spans="2:8" hidden="1" outlineLevel="1">
      <c r="B2049" s="12" t="s">
        <v>2411</v>
      </c>
      <c r="C2049" s="2" t="str">
        <f>C2008</f>
        <v>Show</v>
      </c>
      <c r="D2049" s="23"/>
      <c r="E2049" s="13"/>
      <c r="F2049" s="70"/>
      <c r="G2049" s="78" t="s">
        <v>121</v>
      </c>
      <c r="H2049" s="75" t="s">
        <v>2397</v>
      </c>
    </row>
    <row r="2050" spans="2:8" hidden="1" outlineLevel="1">
      <c r="B2050" s="12" t="s">
        <v>2412</v>
      </c>
      <c r="C2050" s="2" t="str">
        <f>C2042</f>
        <v>Show</v>
      </c>
      <c r="D2050" s="23" t="s">
        <v>613</v>
      </c>
      <c r="E2050" s="13"/>
      <c r="G2050" s="13"/>
    </row>
    <row r="2051" spans="2:8" hidden="1" outlineLevel="1">
      <c r="B2051" s="12" t="s">
        <v>2412</v>
      </c>
      <c r="C2051" s="2" t="str">
        <f>C2042</f>
        <v>Show</v>
      </c>
      <c r="D2051" s="23"/>
      <c r="E2051" s="12" t="str">
        <f>IF(OR(C2052="Show",C2054="Show"),"2.1 Product Requirements","(no EGC requirements)")</f>
        <v>2.1 Product Requirements</v>
      </c>
      <c r="G2051" s="13"/>
    </row>
    <row r="2052" spans="2:8" hidden="1" outlineLevel="1">
      <c r="B2052" s="12" t="s">
        <v>2411</v>
      </c>
      <c r="C2052" s="2" t="str">
        <f>C2008</f>
        <v>Show</v>
      </c>
      <c r="D2052" s="23"/>
      <c r="E2052" s="12"/>
      <c r="F2052" s="70" t="s">
        <v>119</v>
      </c>
      <c r="G2052" s="12" t="s">
        <v>3432</v>
      </c>
    </row>
    <row r="2053" spans="2:8" hidden="1" outlineLevel="1">
      <c r="B2053" s="12" t="s">
        <v>2411</v>
      </c>
      <c r="C2053" s="2" t="str">
        <f>C2008</f>
        <v>Show</v>
      </c>
      <c r="D2053" s="23"/>
      <c r="E2053" s="12"/>
      <c r="G2053" s="30" t="s">
        <v>121</v>
      </c>
      <c r="H2053" s="75" t="s">
        <v>2399</v>
      </c>
    </row>
    <row r="2054" spans="2:8" hidden="1" outlineLevel="1">
      <c r="B2054" s="12" t="s">
        <v>2413</v>
      </c>
      <c r="C2054" s="2" t="str">
        <f>IF(OR('1. Criteria &amp; Spec Matrix'!E205='3. Dropdowns'!C249,'1. Criteria &amp; Spec Matrix'!E205=""),"Show","Hide")</f>
        <v>Show</v>
      </c>
      <c r="D2054" s="23"/>
      <c r="E2054" s="12"/>
      <c r="F2054" s="70" t="str">
        <f>IF(C2052="Show","B.","A.")</f>
        <v>B.</v>
      </c>
      <c r="G2054" s="12" t="s">
        <v>3431</v>
      </c>
    </row>
    <row r="2055" spans="2:8" hidden="1" outlineLevel="1">
      <c r="B2055" s="12" t="s">
        <v>2413</v>
      </c>
      <c r="C2055" s="2" t="str">
        <f>C2054</f>
        <v>Show</v>
      </c>
      <c r="D2055" s="23"/>
      <c r="E2055" s="12"/>
      <c r="G2055" s="30" t="s">
        <v>121</v>
      </c>
      <c r="H2055" s="75" t="s">
        <v>2408</v>
      </c>
    </row>
    <row r="2056" spans="2:8" hidden="1" outlineLevel="1">
      <c r="B2056" s="12" t="s">
        <v>2412</v>
      </c>
      <c r="C2056" s="2" t="str">
        <f>C2042</f>
        <v>Show</v>
      </c>
      <c r="D2056" s="23" t="s">
        <v>187</v>
      </c>
      <c r="E2056" s="13"/>
      <c r="G2056" s="13"/>
    </row>
    <row r="2057" spans="2:8" hidden="1" outlineLevel="1">
      <c r="B2057" s="12" t="s">
        <v>2412</v>
      </c>
      <c r="C2057" s="2" t="str">
        <f>C2042</f>
        <v>Show</v>
      </c>
      <c r="D2057" s="23"/>
      <c r="E2057" s="12" t="str">
        <f>IF(C2058="Show","3.1 Execution Requirements","(no EGC requirements)")</f>
        <v>3.1 Execution Requirements</v>
      </c>
      <c r="G2057" s="13"/>
    </row>
    <row r="2058" spans="2:8" hidden="1" outlineLevel="1">
      <c r="B2058" s="12" t="s">
        <v>2411</v>
      </c>
      <c r="C2058" s="2" t="str">
        <f>C2008</f>
        <v>Show</v>
      </c>
      <c r="D2058" s="23"/>
      <c r="E2058" s="13"/>
      <c r="F2058" s="70" t="s">
        <v>119</v>
      </c>
      <c r="G2058" s="12" t="s">
        <v>3432</v>
      </c>
    </row>
    <row r="2059" spans="2:8" ht="30" hidden="1" outlineLevel="1">
      <c r="B2059" s="12" t="s">
        <v>2411</v>
      </c>
      <c r="C2059" s="2" t="str">
        <f>C2008</f>
        <v>Show</v>
      </c>
      <c r="D2059" s="23"/>
      <c r="E2059" s="13"/>
      <c r="G2059" s="78" t="s">
        <v>121</v>
      </c>
      <c r="H2059" s="75" t="s">
        <v>2401</v>
      </c>
    </row>
    <row r="2060" spans="2:8" hidden="1" outlineLevel="1">
      <c r="B2060" s="12" t="s">
        <v>2412</v>
      </c>
      <c r="C2060" s="2" t="str">
        <f>C2042</f>
        <v>Show</v>
      </c>
      <c r="D2060" s="23"/>
      <c r="E2060" s="13"/>
      <c r="G2060" s="78"/>
    </row>
    <row r="2061" spans="2:8" collapsed="1">
      <c r="B2061" s="12" t="s">
        <v>2411</v>
      </c>
      <c r="C2061" s="7" t="str">
        <f>C2007</f>
        <v>Show</v>
      </c>
      <c r="D2061" s="23"/>
      <c r="F2061" s="12"/>
    </row>
    <row r="2062" spans="2:8">
      <c r="B2062" s="76" t="s">
        <v>2532</v>
      </c>
      <c r="C2062" s="7" t="str">
        <f>C47</f>
        <v>Show</v>
      </c>
      <c r="D2062" s="38" t="s">
        <v>549</v>
      </c>
      <c r="E2062" s="44"/>
      <c r="F2062" s="39"/>
      <c r="G2062" s="39"/>
      <c r="H2062" s="41"/>
    </row>
    <row r="2063" spans="2:8">
      <c r="B2063" s="12" t="s">
        <v>2513</v>
      </c>
      <c r="C2063" s="2" t="str">
        <f>IF(OR('1. Criteria &amp; Spec Matrix'!E207='3. Dropdowns'!C250,'1. Criteria &amp; Spec Matrix'!E207='3. Dropdowns'!C251,'1. Criteria &amp; Spec Matrix'!E207=""),"Show","Hide")</f>
        <v>Show</v>
      </c>
      <c r="D2063" s="55" t="s">
        <v>244</v>
      </c>
      <c r="E2063" s="55"/>
      <c r="F2063" s="57" t="s">
        <v>245</v>
      </c>
      <c r="G2063" s="59"/>
      <c r="H2063" s="58"/>
    </row>
    <row r="2064" spans="2:8" hidden="1" outlineLevel="1">
      <c r="B2064" s="12" t="s">
        <v>2513</v>
      </c>
      <c r="C2064" s="2" t="str">
        <f>C2063</f>
        <v>Show</v>
      </c>
      <c r="D2064" s="23" t="s">
        <v>117</v>
      </c>
      <c r="E2064" s="13"/>
      <c r="G2064" s="13"/>
    </row>
    <row r="2065" spans="2:8" hidden="1" outlineLevel="1">
      <c r="B2065" s="12" t="s">
        <v>2513</v>
      </c>
      <c r="C2065" s="2" t="str">
        <f>C2063</f>
        <v>Show</v>
      </c>
      <c r="D2065" s="23"/>
      <c r="E2065" s="13">
        <v>1.1000000000000001</v>
      </c>
      <c r="F2065" s="11" t="s">
        <v>118</v>
      </c>
      <c r="G2065" s="13"/>
    </row>
    <row r="2066" spans="2:8" hidden="1" outlineLevel="1">
      <c r="B2066" s="12" t="s">
        <v>2513</v>
      </c>
      <c r="C2066" s="2" t="str">
        <f>C2063</f>
        <v>Show</v>
      </c>
      <c r="D2066" s="23"/>
      <c r="E2066" s="13"/>
      <c r="F2066" s="70" t="s">
        <v>119</v>
      </c>
      <c r="G2066" s="18" t="s">
        <v>677</v>
      </c>
    </row>
    <row r="2067" spans="2:8" hidden="1" outlineLevel="1">
      <c r="B2067" s="12" t="s">
        <v>2513</v>
      </c>
      <c r="C2067" s="2" t="str">
        <f>C2063</f>
        <v>Show</v>
      </c>
      <c r="D2067" s="23"/>
      <c r="E2067" s="13"/>
      <c r="F2067" s="70"/>
      <c r="G2067" s="78" t="s">
        <v>121</v>
      </c>
      <c r="H2067" s="79" t="s">
        <v>2301</v>
      </c>
    </row>
    <row r="2068" spans="2:8" hidden="1" outlineLevel="1">
      <c r="B2068" s="12" t="s">
        <v>2513</v>
      </c>
      <c r="C2068" s="2" t="str">
        <f>C2063</f>
        <v>Show</v>
      </c>
      <c r="D2068" s="23"/>
      <c r="E2068" s="13">
        <v>1.2</v>
      </c>
      <c r="F2068" s="71" t="s">
        <v>131</v>
      </c>
      <c r="G2068" s="78"/>
    </row>
    <row r="2069" spans="2:8" hidden="1" outlineLevel="1">
      <c r="B2069" s="12" t="s">
        <v>2513</v>
      </c>
      <c r="C2069" s="2" t="str">
        <f>C2063</f>
        <v>Show</v>
      </c>
      <c r="D2069" s="23"/>
      <c r="E2069" s="13"/>
      <c r="F2069" s="70" t="s">
        <v>119</v>
      </c>
      <c r="G2069" s="12" t="s">
        <v>3407</v>
      </c>
    </row>
    <row r="2070" spans="2:8" ht="30" hidden="1" outlineLevel="1">
      <c r="B2070" s="12" t="s">
        <v>2513</v>
      </c>
      <c r="C2070" s="2" t="str">
        <f>C2063</f>
        <v>Show</v>
      </c>
      <c r="D2070" s="23"/>
      <c r="E2070" s="13"/>
      <c r="F2070" s="70"/>
      <c r="G2070" s="78" t="s">
        <v>121</v>
      </c>
      <c r="H2070" s="75" t="s">
        <v>2511</v>
      </c>
    </row>
    <row r="2071" spans="2:8" hidden="1" outlineLevel="1">
      <c r="B2071" s="12" t="s">
        <v>2513</v>
      </c>
      <c r="C2071" s="2" t="str">
        <f>C2063</f>
        <v>Show</v>
      </c>
      <c r="D2071" s="23" t="s">
        <v>613</v>
      </c>
      <c r="E2071" s="13"/>
      <c r="G2071" s="13"/>
    </row>
    <row r="2072" spans="2:8" hidden="1" outlineLevel="1">
      <c r="B2072" s="12" t="s">
        <v>2513</v>
      </c>
      <c r="C2072" s="2" t="str">
        <f>C2063</f>
        <v>Show</v>
      </c>
      <c r="D2072" s="23"/>
      <c r="E2072" s="12" t="s">
        <v>679</v>
      </c>
      <c r="G2072" s="13"/>
    </row>
    <row r="2073" spans="2:8" hidden="1" outlineLevel="1">
      <c r="B2073" s="12" t="s">
        <v>2513</v>
      </c>
      <c r="C2073" s="2" t="str">
        <f>C2063</f>
        <v>Show</v>
      </c>
      <c r="D2073" s="23" t="s">
        <v>187</v>
      </c>
      <c r="E2073" s="13"/>
      <c r="G2073" s="13"/>
    </row>
    <row r="2074" spans="2:8" hidden="1" outlineLevel="1">
      <c r="B2074" s="12" t="s">
        <v>2513</v>
      </c>
      <c r="C2074" s="2" t="str">
        <f>C2063</f>
        <v>Show</v>
      </c>
      <c r="D2074" s="23"/>
      <c r="E2074" s="13">
        <v>3.1</v>
      </c>
      <c r="F2074" s="11" t="s">
        <v>616</v>
      </c>
      <c r="G2074" s="13"/>
    </row>
    <row r="2075" spans="2:8" hidden="1" outlineLevel="1">
      <c r="B2075" s="12" t="s">
        <v>2513</v>
      </c>
      <c r="C2075" s="2" t="str">
        <f>C2063</f>
        <v>Show</v>
      </c>
      <c r="D2075" s="23"/>
      <c r="E2075" s="13"/>
      <c r="F2075" s="70" t="s">
        <v>119</v>
      </c>
      <c r="G2075" s="12" t="s">
        <v>3407</v>
      </c>
    </row>
    <row r="2076" spans="2:8" ht="30" hidden="1" outlineLevel="1">
      <c r="B2076" s="12" t="s">
        <v>2513</v>
      </c>
      <c r="C2076" s="2" t="str">
        <f>C2063</f>
        <v>Show</v>
      </c>
      <c r="D2076" s="23"/>
      <c r="E2076" s="13"/>
      <c r="G2076" s="78" t="s">
        <v>121</v>
      </c>
      <c r="H2076" s="75" t="s">
        <v>2512</v>
      </c>
    </row>
    <row r="2077" spans="2:8" hidden="1" outlineLevel="1">
      <c r="B2077" s="12" t="s">
        <v>2513</v>
      </c>
      <c r="C2077" s="2" t="str">
        <f>C2063</f>
        <v>Show</v>
      </c>
      <c r="D2077" s="23"/>
      <c r="E2077" s="13"/>
      <c r="G2077" s="78"/>
    </row>
    <row r="2078" spans="2:8" collapsed="1">
      <c r="B2078" s="12" t="s">
        <v>2514</v>
      </c>
      <c r="C2078" s="2" t="str">
        <f>IF(OR('1. Criteria &amp; Spec Matrix'!E230='3. Dropdowns'!C291,'1. Criteria &amp; Spec Matrix'!E230='3. Dropdowns'!C294,'1. Criteria &amp; Spec Matrix'!E230=""),"Show","Hide")</f>
        <v>Show</v>
      </c>
      <c r="D2078" s="55" t="s">
        <v>246</v>
      </c>
      <c r="E2078" s="55"/>
      <c r="F2078" s="57" t="s">
        <v>247</v>
      </c>
      <c r="G2078" s="53"/>
      <c r="H2078" s="54"/>
    </row>
    <row r="2079" spans="2:8" hidden="1" outlineLevel="1">
      <c r="B2079" s="12" t="s">
        <v>2515</v>
      </c>
      <c r="C2079" s="9" t="str">
        <f>C2078</f>
        <v>Show</v>
      </c>
      <c r="D2079" s="23" t="s">
        <v>117</v>
      </c>
      <c r="E2079" s="13"/>
      <c r="G2079" s="13"/>
    </row>
    <row r="2080" spans="2:8" hidden="1" outlineLevel="1">
      <c r="B2080" s="12" t="s">
        <v>2516</v>
      </c>
      <c r="C2080" s="9" t="str">
        <f>C2078</f>
        <v>Show</v>
      </c>
      <c r="D2080" s="23"/>
      <c r="E2080" s="13">
        <v>1.1000000000000001</v>
      </c>
      <c r="F2080" s="11" t="s">
        <v>118</v>
      </c>
      <c r="G2080" s="13"/>
    </row>
    <row r="2081" spans="2:8" hidden="1" outlineLevel="1">
      <c r="B2081" s="12" t="s">
        <v>2517</v>
      </c>
      <c r="C2081" s="9" t="str">
        <f>C2078</f>
        <v>Show</v>
      </c>
      <c r="D2081" s="23"/>
      <c r="E2081" s="13"/>
      <c r="F2081" s="70" t="s">
        <v>119</v>
      </c>
      <c r="G2081" s="18" t="s">
        <v>677</v>
      </c>
    </row>
    <row r="2082" spans="2:8" hidden="1" outlineLevel="1">
      <c r="B2082" s="12" t="s">
        <v>2518</v>
      </c>
      <c r="C2082" s="9" t="str">
        <f>C2078</f>
        <v>Show</v>
      </c>
      <c r="D2082" s="23"/>
      <c r="E2082" s="13"/>
      <c r="F2082" s="70"/>
      <c r="G2082" s="78" t="s">
        <v>121</v>
      </c>
      <c r="H2082" s="79" t="s">
        <v>2301</v>
      </c>
    </row>
    <row r="2083" spans="2:8" hidden="1" outlineLevel="1">
      <c r="B2083" s="12" t="s">
        <v>2519</v>
      </c>
      <c r="C2083" s="9" t="str">
        <f>C2078</f>
        <v>Show</v>
      </c>
      <c r="D2083" s="23"/>
      <c r="E2083" s="13">
        <v>1.2</v>
      </c>
      <c r="F2083" s="71" t="s">
        <v>131</v>
      </c>
      <c r="G2083" s="78"/>
    </row>
    <row r="2084" spans="2:8" hidden="1" outlineLevel="1">
      <c r="B2084" s="12" t="s">
        <v>2520</v>
      </c>
      <c r="C2084" s="9" t="str">
        <f>C2078</f>
        <v>Show</v>
      </c>
      <c r="D2084" s="23"/>
      <c r="E2084" s="13"/>
      <c r="F2084" s="11" t="str">
        <f>IF(C2082="Show","B.","A.")</f>
        <v>B.</v>
      </c>
      <c r="G2084" s="12" t="s">
        <v>3433</v>
      </c>
    </row>
    <row r="2085" spans="2:8" hidden="1" outlineLevel="1">
      <c r="B2085" s="12" t="s">
        <v>2521</v>
      </c>
      <c r="C2085" s="9" t="str">
        <f>C2078</f>
        <v>Show</v>
      </c>
      <c r="D2085" s="23"/>
      <c r="E2085" s="13"/>
      <c r="F2085" s="70"/>
      <c r="G2085" s="78" t="s">
        <v>121</v>
      </c>
      <c r="H2085" s="75" t="s">
        <v>2529</v>
      </c>
    </row>
    <row r="2086" spans="2:8" hidden="1" outlineLevel="1">
      <c r="B2086" s="12" t="s">
        <v>2522</v>
      </c>
      <c r="C2086" s="9" t="str">
        <f>C2078</f>
        <v>Show</v>
      </c>
      <c r="D2086" s="23" t="s">
        <v>613</v>
      </c>
      <c r="E2086" s="13"/>
      <c r="G2086" s="13"/>
    </row>
    <row r="2087" spans="2:8" hidden="1" outlineLevel="1">
      <c r="B2087" s="12" t="s">
        <v>2523</v>
      </c>
      <c r="C2087" s="9" t="str">
        <f>C2078</f>
        <v>Show</v>
      </c>
      <c r="D2087" s="23"/>
      <c r="E2087" s="12" t="s">
        <v>2320</v>
      </c>
      <c r="G2087" s="13"/>
    </row>
    <row r="2088" spans="2:8" hidden="1" outlineLevel="1">
      <c r="B2088" s="12" t="s">
        <v>2524</v>
      </c>
      <c r="C2088" s="9" t="str">
        <f>C2078</f>
        <v>Show</v>
      </c>
      <c r="D2088" s="23"/>
      <c r="E2088" s="12"/>
      <c r="F2088" s="11" t="s">
        <v>119</v>
      </c>
      <c r="G2088" s="12" t="s">
        <v>3433</v>
      </c>
    </row>
    <row r="2089" spans="2:8" hidden="1" outlineLevel="1">
      <c r="B2089" s="12" t="s">
        <v>2525</v>
      </c>
      <c r="C2089" s="9" t="str">
        <f>C2078</f>
        <v>Show</v>
      </c>
      <c r="D2089" s="23"/>
      <c r="E2089" s="12"/>
      <c r="G2089" s="30" t="s">
        <v>121</v>
      </c>
      <c r="H2089" s="75" t="s">
        <v>2530</v>
      </c>
    </row>
    <row r="2090" spans="2:8" hidden="1" outlineLevel="1">
      <c r="B2090" s="12" t="s">
        <v>2526</v>
      </c>
      <c r="C2090" s="9" t="str">
        <f>C2078</f>
        <v>Show</v>
      </c>
      <c r="D2090" s="23" t="s">
        <v>187</v>
      </c>
      <c r="E2090" s="13"/>
      <c r="G2090" s="13"/>
    </row>
    <row r="2091" spans="2:8" hidden="1" outlineLevel="1">
      <c r="B2091" s="12" t="s">
        <v>2527</v>
      </c>
      <c r="C2091" s="9" t="str">
        <f>C2078</f>
        <v>Show</v>
      </c>
      <c r="D2091" s="23"/>
      <c r="E2091" s="12" t="s">
        <v>679</v>
      </c>
      <c r="G2091" s="13"/>
    </row>
    <row r="2092" spans="2:8" hidden="1" outlineLevel="1">
      <c r="B2092" s="12" t="s">
        <v>2528</v>
      </c>
      <c r="C2092" s="9" t="str">
        <f>C2078</f>
        <v>Show</v>
      </c>
    </row>
    <row r="2093" spans="2:8" collapsed="1">
      <c r="B2093" s="12" t="s">
        <v>2534</v>
      </c>
      <c r="C2093" s="2" t="str">
        <f>IF(OR(C2103="Show",C2105="Show"),"Show","Hide")</f>
        <v>Show</v>
      </c>
      <c r="D2093" s="55" t="s">
        <v>248</v>
      </c>
      <c r="E2093" s="55"/>
      <c r="F2093" s="57" t="s">
        <v>249</v>
      </c>
      <c r="G2093" s="53"/>
      <c r="H2093" s="54"/>
    </row>
    <row r="2094" spans="2:8" hidden="1" outlineLevel="1">
      <c r="B2094" s="12" t="s">
        <v>2534</v>
      </c>
      <c r="C2094" s="9" t="str">
        <f>C2093</f>
        <v>Show</v>
      </c>
      <c r="D2094" s="23" t="s">
        <v>117</v>
      </c>
      <c r="E2094" s="13"/>
      <c r="G2094" s="13"/>
    </row>
    <row r="2095" spans="2:8" hidden="1" outlineLevel="1">
      <c r="B2095" s="12" t="s">
        <v>2534</v>
      </c>
      <c r="C2095" s="9" t="str">
        <f>C2093</f>
        <v>Show</v>
      </c>
      <c r="D2095" s="23"/>
      <c r="E2095" s="13">
        <v>1.1000000000000001</v>
      </c>
      <c r="F2095" s="11" t="s">
        <v>118</v>
      </c>
      <c r="G2095" s="13"/>
    </row>
    <row r="2096" spans="2:8" hidden="1" outlineLevel="1">
      <c r="B2096" s="12" t="s">
        <v>2534</v>
      </c>
      <c r="C2096" s="9" t="str">
        <f>C2093</f>
        <v>Show</v>
      </c>
      <c r="D2096" s="23"/>
      <c r="E2096" s="13"/>
      <c r="F2096" s="70" t="s">
        <v>119</v>
      </c>
      <c r="G2096" s="18" t="s">
        <v>677</v>
      </c>
    </row>
    <row r="2097" spans="2:8" hidden="1" outlineLevel="1">
      <c r="B2097" s="12" t="s">
        <v>2534</v>
      </c>
      <c r="C2097" s="9" t="str">
        <f>C2093</f>
        <v>Show</v>
      </c>
      <c r="D2097" s="23"/>
      <c r="E2097" s="13"/>
      <c r="F2097" s="70"/>
      <c r="G2097" s="78" t="s">
        <v>121</v>
      </c>
      <c r="H2097" s="79" t="s">
        <v>2301</v>
      </c>
    </row>
    <row r="2098" spans="2:8" hidden="1" outlineLevel="1">
      <c r="B2098" s="76" t="s">
        <v>2535</v>
      </c>
      <c r="C2098" s="9" t="str">
        <f>C2093</f>
        <v>Show</v>
      </c>
      <c r="D2098" s="23"/>
      <c r="E2098" s="13">
        <v>1.2</v>
      </c>
      <c r="F2098" s="71" t="s">
        <v>131</v>
      </c>
      <c r="G2098" s="78"/>
    </row>
    <row r="2099" spans="2:8" hidden="1" outlineLevel="1">
      <c r="B2099" s="76" t="s">
        <v>2535</v>
      </c>
      <c r="C2099" s="9" t="str">
        <f>C2093</f>
        <v>Show</v>
      </c>
      <c r="D2099" s="23"/>
      <c r="E2099" s="13"/>
      <c r="F2099" s="11" t="str">
        <f>IF(C2097="Show","B.","A.")</f>
        <v>B.</v>
      </c>
      <c r="G2099" s="12" t="s">
        <v>3433</v>
      </c>
    </row>
    <row r="2100" spans="2:8" hidden="1" outlineLevel="1">
      <c r="B2100" s="76" t="s">
        <v>2535</v>
      </c>
      <c r="C2100" s="9" t="str">
        <f>C2093</f>
        <v>Show</v>
      </c>
      <c r="D2100" s="23"/>
      <c r="E2100" s="13"/>
      <c r="F2100" s="70"/>
      <c r="G2100" s="78" t="s">
        <v>121</v>
      </c>
      <c r="H2100" s="75" t="s">
        <v>2529</v>
      </c>
    </row>
    <row r="2101" spans="2:8" hidden="1" outlineLevel="1">
      <c r="B2101" s="12" t="s">
        <v>2534</v>
      </c>
      <c r="C2101" s="9" t="str">
        <f>C2093</f>
        <v>Show</v>
      </c>
      <c r="D2101" s="23" t="s">
        <v>613</v>
      </c>
      <c r="E2101" s="13"/>
      <c r="G2101" s="13"/>
    </row>
    <row r="2102" spans="2:8" hidden="1" outlineLevel="1">
      <c r="B2102" s="12" t="s">
        <v>2534</v>
      </c>
      <c r="C2102" s="9" t="str">
        <f>C2093</f>
        <v>Show</v>
      </c>
      <c r="D2102" s="23"/>
      <c r="E2102" s="12" t="s">
        <v>2320</v>
      </c>
      <c r="G2102" s="13"/>
    </row>
    <row r="2103" spans="2:8" hidden="1" outlineLevel="1">
      <c r="B2103" s="76" t="s">
        <v>2536</v>
      </c>
      <c r="C2103" s="9" t="str">
        <f>IF(OR('1. Criteria &amp; Spec Matrix'!E205='3. Dropdowns'!C249,'1. Criteria &amp; Spec Matrix'!E205=""),"Show","Hide")</f>
        <v>Show</v>
      </c>
      <c r="D2103" s="23"/>
      <c r="E2103" s="12"/>
      <c r="F2103" s="11" t="s">
        <v>119</v>
      </c>
      <c r="G2103" s="12" t="s">
        <v>3434</v>
      </c>
    </row>
    <row r="2104" spans="2:8" hidden="1" outlineLevel="1">
      <c r="B2104" s="76" t="s">
        <v>2536</v>
      </c>
      <c r="C2104" s="9" t="str">
        <f>C2103</f>
        <v>Show</v>
      </c>
      <c r="D2104" s="23"/>
      <c r="E2104" s="12"/>
      <c r="G2104" s="30" t="s">
        <v>121</v>
      </c>
      <c r="H2104" s="75" t="s">
        <v>2408</v>
      </c>
    </row>
    <row r="2105" spans="2:8" hidden="1" outlineLevel="1">
      <c r="B2105" s="76" t="s">
        <v>2535</v>
      </c>
      <c r="C2105" s="9" t="str">
        <f>IF(OR('1. Criteria &amp; Spec Matrix'!E230='3. Dropdowns'!C291,'1. Criteria &amp; Spec Matrix'!E230='3. Dropdowns'!C294,'1. Criteria &amp; Spec Matrix'!E230=""),"Show","Hide")</f>
        <v>Show</v>
      </c>
      <c r="D2105" s="23"/>
      <c r="E2105" s="12"/>
      <c r="F2105" s="11" t="str">
        <f>IF(C2103="Show","B.","A.")</f>
        <v>B.</v>
      </c>
      <c r="G2105" s="12" t="s">
        <v>3433</v>
      </c>
    </row>
    <row r="2106" spans="2:8" hidden="1" outlineLevel="1">
      <c r="B2106" s="76" t="s">
        <v>2535</v>
      </c>
      <c r="C2106" s="9" t="str">
        <f>C2105</f>
        <v>Show</v>
      </c>
      <c r="D2106" s="23"/>
      <c r="E2106" s="12"/>
      <c r="G2106" s="30" t="s">
        <v>121</v>
      </c>
      <c r="H2106" s="75" t="s">
        <v>2533</v>
      </c>
    </row>
    <row r="2107" spans="2:8" hidden="1" outlineLevel="1">
      <c r="B2107" s="12" t="s">
        <v>2534</v>
      </c>
      <c r="C2107" s="9" t="str">
        <f>C2093</f>
        <v>Show</v>
      </c>
      <c r="D2107" s="23" t="s">
        <v>187</v>
      </c>
      <c r="E2107" s="13"/>
      <c r="G2107" s="13"/>
    </row>
    <row r="2108" spans="2:8" hidden="1" outlineLevel="1">
      <c r="B2108" s="12" t="s">
        <v>2534</v>
      </c>
      <c r="C2108" s="9" t="str">
        <f>C2093</f>
        <v>Show</v>
      </c>
      <c r="D2108" s="23"/>
      <c r="E2108" s="12" t="s">
        <v>679</v>
      </c>
      <c r="G2108" s="13"/>
    </row>
    <row r="2109" spans="2:8" hidden="1" outlineLevel="1">
      <c r="B2109" s="12" t="s">
        <v>2534</v>
      </c>
      <c r="C2109" s="9" t="str">
        <f>C2093</f>
        <v>Show</v>
      </c>
    </row>
    <row r="2110" spans="2:8" collapsed="1">
      <c r="B2110" s="12" t="s">
        <v>2537</v>
      </c>
      <c r="C2110" s="2" t="str">
        <f>IF(OR('1. Criteria &amp; Spec Matrix'!E162="",'1. Criteria &amp; Spec Matrix'!E162='3. Dropdowns'!C125,'1. Criteria &amp; Spec Matrix'!E162='3. Dropdowns'!C126),"Show","Hide")</f>
        <v>Show</v>
      </c>
      <c r="D2110" s="55" t="s">
        <v>1627</v>
      </c>
      <c r="E2110" s="55"/>
      <c r="F2110" s="57" t="s">
        <v>1607</v>
      </c>
      <c r="G2110" s="53"/>
      <c r="H2110" s="54"/>
    </row>
    <row r="2111" spans="2:8" hidden="1" outlineLevel="1">
      <c r="B2111" s="12" t="s">
        <v>2537</v>
      </c>
      <c r="C2111" s="9" t="str">
        <f>C2110</f>
        <v>Show</v>
      </c>
      <c r="D2111" s="23" t="s">
        <v>117</v>
      </c>
      <c r="E2111" s="13"/>
      <c r="G2111" s="13"/>
    </row>
    <row r="2112" spans="2:8" hidden="1" outlineLevel="1">
      <c r="B2112" s="12" t="s">
        <v>2537</v>
      </c>
      <c r="C2112" s="9" t="str">
        <f>C2110</f>
        <v>Show</v>
      </c>
      <c r="D2112" s="23"/>
      <c r="E2112" s="13">
        <v>1.1000000000000001</v>
      </c>
      <c r="F2112" s="11" t="s">
        <v>118</v>
      </c>
      <c r="G2112" s="13"/>
    </row>
    <row r="2113" spans="2:8" hidden="1" outlineLevel="1">
      <c r="B2113" s="12" t="s">
        <v>2537</v>
      </c>
      <c r="C2113" s="9" t="str">
        <f>C2110</f>
        <v>Show</v>
      </c>
      <c r="D2113" s="23"/>
      <c r="E2113" s="13"/>
      <c r="F2113" s="70" t="s">
        <v>119</v>
      </c>
      <c r="G2113" s="18" t="s">
        <v>677</v>
      </c>
    </row>
    <row r="2114" spans="2:8" hidden="1" outlineLevel="1">
      <c r="B2114" s="12" t="s">
        <v>2537</v>
      </c>
      <c r="C2114" s="9" t="str">
        <f>C2110</f>
        <v>Show</v>
      </c>
      <c r="D2114" s="23"/>
      <c r="E2114" s="13"/>
      <c r="F2114" s="70"/>
      <c r="G2114" s="78" t="s">
        <v>121</v>
      </c>
      <c r="H2114" s="79" t="s">
        <v>2301</v>
      </c>
    </row>
    <row r="2115" spans="2:8" hidden="1" outlineLevel="1">
      <c r="B2115" s="12" t="s">
        <v>2537</v>
      </c>
      <c r="C2115" s="9" t="str">
        <f>C2110</f>
        <v>Show</v>
      </c>
      <c r="D2115" s="23"/>
      <c r="E2115" s="13">
        <v>1.2</v>
      </c>
      <c r="F2115" s="71" t="s">
        <v>131</v>
      </c>
      <c r="G2115" s="78"/>
    </row>
    <row r="2116" spans="2:8" hidden="1" outlineLevel="1">
      <c r="B2116" s="12" t="s">
        <v>2537</v>
      </c>
      <c r="C2116" s="9" t="str">
        <f>C2110</f>
        <v>Show</v>
      </c>
      <c r="D2116" s="23"/>
      <c r="E2116" s="13"/>
      <c r="F2116" s="70" t="s">
        <v>119</v>
      </c>
      <c r="G2116" s="12" t="s">
        <v>3435</v>
      </c>
    </row>
    <row r="2117" spans="2:8" hidden="1" outlineLevel="1">
      <c r="B2117" s="12" t="s">
        <v>2537</v>
      </c>
      <c r="C2117" s="9" t="str">
        <f>C2110</f>
        <v>Show</v>
      </c>
      <c r="D2117" s="23"/>
      <c r="E2117" s="13"/>
      <c r="F2117" s="70"/>
      <c r="G2117" s="78" t="s">
        <v>121</v>
      </c>
      <c r="H2117" s="75" t="s">
        <v>2538</v>
      </c>
    </row>
    <row r="2118" spans="2:8" hidden="1" outlineLevel="1">
      <c r="B2118" s="12" t="s">
        <v>2537</v>
      </c>
      <c r="C2118" s="9" t="str">
        <f>C2110</f>
        <v>Show</v>
      </c>
      <c r="D2118" s="23" t="s">
        <v>613</v>
      </c>
      <c r="E2118" s="13"/>
      <c r="G2118" s="13"/>
    </row>
    <row r="2119" spans="2:8" hidden="1" outlineLevel="1">
      <c r="B2119" s="12" t="s">
        <v>2537</v>
      </c>
      <c r="C2119" s="9" t="str">
        <f>C2110</f>
        <v>Show</v>
      </c>
      <c r="D2119" s="23"/>
      <c r="E2119" s="12" t="s">
        <v>2320</v>
      </c>
      <c r="G2119" s="13"/>
    </row>
    <row r="2120" spans="2:8" hidden="1" outlineLevel="1">
      <c r="B2120" s="12" t="s">
        <v>2537</v>
      </c>
      <c r="C2120" s="9" t="str">
        <f>C2110</f>
        <v>Show</v>
      </c>
      <c r="D2120" s="23"/>
      <c r="E2120" s="12"/>
      <c r="F2120" s="11" t="s">
        <v>119</v>
      </c>
      <c r="G2120" s="12" t="s">
        <v>3435</v>
      </c>
    </row>
    <row r="2121" spans="2:8" hidden="1" outlineLevel="1">
      <c r="B2121" s="12" t="s">
        <v>2537</v>
      </c>
      <c r="C2121" s="9" t="str">
        <f>C2110</f>
        <v>Show</v>
      </c>
      <c r="D2121" s="23"/>
      <c r="E2121" s="12"/>
      <c r="G2121" s="30" t="s">
        <v>121</v>
      </c>
      <c r="H2121" s="75" t="s">
        <v>2539</v>
      </c>
    </row>
    <row r="2122" spans="2:8" hidden="1" outlineLevel="1">
      <c r="B2122" s="12" t="s">
        <v>2537</v>
      </c>
      <c r="C2122" s="9" t="str">
        <f>C2110</f>
        <v>Show</v>
      </c>
      <c r="D2122" s="23" t="s">
        <v>187</v>
      </c>
      <c r="E2122" s="13"/>
      <c r="G2122" s="13"/>
    </row>
    <row r="2123" spans="2:8" hidden="1" outlineLevel="1">
      <c r="B2123" s="12" t="s">
        <v>2537</v>
      </c>
      <c r="C2123" s="9" t="str">
        <f>C2110</f>
        <v>Show</v>
      </c>
      <c r="D2123" s="23"/>
      <c r="E2123" s="13">
        <v>3.1</v>
      </c>
      <c r="F2123" s="11" t="s">
        <v>616</v>
      </c>
      <c r="G2123" s="13"/>
    </row>
    <row r="2124" spans="2:8" hidden="1" outlineLevel="1">
      <c r="B2124" s="12" t="s">
        <v>2537</v>
      </c>
      <c r="C2124" s="9" t="str">
        <f>C2110</f>
        <v>Show</v>
      </c>
      <c r="D2124" s="23"/>
      <c r="E2124" s="13"/>
      <c r="F2124" s="70" t="s">
        <v>119</v>
      </c>
      <c r="G2124" s="12" t="s">
        <v>3435</v>
      </c>
    </row>
    <row r="2125" spans="2:8" ht="30" hidden="1" outlineLevel="1">
      <c r="B2125" s="12" t="s">
        <v>2537</v>
      </c>
      <c r="C2125" s="9" t="str">
        <f>C2110</f>
        <v>Show</v>
      </c>
      <c r="D2125" s="23"/>
      <c r="E2125" s="13"/>
      <c r="G2125" s="78" t="s">
        <v>121</v>
      </c>
      <c r="H2125" s="75" t="s">
        <v>2540</v>
      </c>
    </row>
    <row r="2126" spans="2:8" hidden="1" outlineLevel="1">
      <c r="B2126" s="12" t="s">
        <v>2537</v>
      </c>
      <c r="C2126" s="9" t="str">
        <f>C2110</f>
        <v>Show</v>
      </c>
    </row>
    <row r="2127" spans="2:8" collapsed="1">
      <c r="B2127" s="12" t="s">
        <v>2541</v>
      </c>
      <c r="C2127" s="2" t="str">
        <f>IF(OR('1. Criteria &amp; Spec Matrix'!E162='3. Dropdowns'!C125,'1. Criteria &amp; Spec Matrix'!E162='3. Dropdowns'!C126,'1. Criteria &amp; Spec Matrix'!E205='3. Dropdowns'!C249,'1. Criteria &amp; Spec Matrix'!E230='3. Dropdowns'!C291,'1. Criteria &amp; Spec Matrix'!E230='3. Dropdowns'!C294),"Show",
IF(OR('1. Criteria &amp; Spec Matrix'!E162="",'1. Criteria &amp; Spec Matrix'!E205="",'1. Criteria &amp; Spec Matrix'!E230=""),"Show","Hide"))</f>
        <v>Show</v>
      </c>
      <c r="D2127" s="55" t="s">
        <v>1628</v>
      </c>
      <c r="E2127" s="55"/>
      <c r="F2127" s="57" t="s">
        <v>250</v>
      </c>
      <c r="G2127" s="53"/>
      <c r="H2127" s="54"/>
    </row>
    <row r="2128" spans="2:8" hidden="1" outlineLevel="1">
      <c r="B2128" s="12" t="s">
        <v>2541</v>
      </c>
      <c r="C2128" s="9" t="str">
        <f>C2127</f>
        <v>Show</v>
      </c>
      <c r="D2128" s="23" t="s">
        <v>117</v>
      </c>
      <c r="E2128" s="13"/>
      <c r="G2128" s="13"/>
    </row>
    <row r="2129" spans="2:8" hidden="1" outlineLevel="1">
      <c r="B2129" s="12" t="s">
        <v>2541</v>
      </c>
      <c r="C2129" s="9" t="str">
        <f>C2127</f>
        <v>Show</v>
      </c>
      <c r="D2129" s="23"/>
      <c r="E2129" s="13">
        <v>1.1000000000000001</v>
      </c>
      <c r="F2129" s="11" t="s">
        <v>118</v>
      </c>
      <c r="G2129" s="13"/>
    </row>
    <row r="2130" spans="2:8" hidden="1" outlineLevel="1">
      <c r="B2130" s="12" t="s">
        <v>2541</v>
      </c>
      <c r="C2130" s="9" t="str">
        <f>C2127</f>
        <v>Show</v>
      </c>
      <c r="D2130" s="23"/>
      <c r="E2130" s="13"/>
      <c r="F2130" s="70" t="s">
        <v>119</v>
      </c>
      <c r="G2130" s="18" t="s">
        <v>677</v>
      </c>
    </row>
    <row r="2131" spans="2:8" hidden="1" outlineLevel="1">
      <c r="B2131" s="12" t="s">
        <v>2541</v>
      </c>
      <c r="C2131" s="9" t="str">
        <f>C2127</f>
        <v>Show</v>
      </c>
      <c r="D2131" s="23"/>
      <c r="E2131" s="13"/>
      <c r="F2131" s="70"/>
      <c r="G2131" s="78" t="s">
        <v>121</v>
      </c>
      <c r="H2131" s="79" t="s">
        <v>2301</v>
      </c>
    </row>
    <row r="2132" spans="2:8" hidden="1" outlineLevel="1">
      <c r="B2132" s="76" t="s">
        <v>2542</v>
      </c>
      <c r="C2132" s="9" t="str">
        <f>IF(OR('1. Criteria &amp; Spec Matrix'!E162='3. Dropdowns'!C125,'1. Criteria &amp; Spec Matrix'!E162='3. Dropdowns'!C126,'1. Criteria &amp; Spec Matrix'!E230='3. Dropdowns'!C291,'1. Criteria &amp; Spec Matrix'!E230='3. Dropdowns'!C294),"Show",
IF(OR('1. Criteria &amp; Spec Matrix'!E162="",'1. Criteria &amp; Spec Matrix'!E230=""),"Show","Hide"))</f>
        <v>Show</v>
      </c>
      <c r="D2132" s="23"/>
      <c r="E2132" s="13">
        <v>1.2</v>
      </c>
      <c r="F2132" s="71" t="s">
        <v>131</v>
      </c>
      <c r="G2132" s="78"/>
    </row>
    <row r="2133" spans="2:8" hidden="1" outlineLevel="1">
      <c r="B2133" s="76" t="s">
        <v>2537</v>
      </c>
      <c r="C2133" s="9" t="str">
        <f>IF(OR('1. Criteria &amp; Spec Matrix'!E162='3. Dropdowns'!C125,'1. Criteria &amp; Spec Matrix'!E162='3. Dropdowns'!C126),"Show",
IF(OR('1. Criteria &amp; Spec Matrix'!E162=""),"Show","Hide"))</f>
        <v>Show</v>
      </c>
      <c r="D2133" s="23"/>
      <c r="E2133" s="13"/>
      <c r="F2133" s="70" t="s">
        <v>119</v>
      </c>
      <c r="G2133" s="12" t="s">
        <v>3435</v>
      </c>
    </row>
    <row r="2134" spans="2:8" hidden="1" outlineLevel="1">
      <c r="B2134" s="76" t="s">
        <v>2537</v>
      </c>
      <c r="C2134" s="9" t="str">
        <f>C2133</f>
        <v>Show</v>
      </c>
      <c r="D2134" s="23"/>
      <c r="E2134" s="13"/>
      <c r="F2134" s="70"/>
      <c r="G2134" s="78" t="s">
        <v>121</v>
      </c>
      <c r="H2134" s="75" t="s">
        <v>2538</v>
      </c>
    </row>
    <row r="2135" spans="2:8" hidden="1" outlineLevel="1">
      <c r="B2135" s="76" t="s">
        <v>2535</v>
      </c>
      <c r="C2135" s="9" t="str">
        <f>IF(OR('1. Criteria &amp; Spec Matrix'!E230='3. Dropdowns'!C291,'1. Criteria &amp; Spec Matrix'!E230='3. Dropdowns'!C294),"Show",
IF(OR('1. Criteria &amp; Spec Matrix'!E230=""),"Show","Hide"))</f>
        <v>Show</v>
      </c>
      <c r="D2135" s="23"/>
      <c r="E2135" s="13"/>
      <c r="F2135" s="70" t="str">
        <f>IF(C2133="Show","B.","A.")</f>
        <v>B.</v>
      </c>
      <c r="G2135" s="12" t="s">
        <v>3433</v>
      </c>
    </row>
    <row r="2136" spans="2:8" hidden="1" outlineLevel="1">
      <c r="B2136" s="76" t="s">
        <v>2535</v>
      </c>
      <c r="C2136" s="9" t="str">
        <f>C2135</f>
        <v>Show</v>
      </c>
      <c r="D2136" s="23"/>
      <c r="E2136" s="13"/>
      <c r="F2136" s="70"/>
      <c r="G2136" s="78" t="s">
        <v>121</v>
      </c>
      <c r="H2136" s="75" t="s">
        <v>2529</v>
      </c>
    </row>
    <row r="2137" spans="2:8" hidden="1" outlineLevel="1">
      <c r="B2137" s="12" t="s">
        <v>2541</v>
      </c>
      <c r="C2137" s="9" t="str">
        <f>C2127</f>
        <v>Show</v>
      </c>
      <c r="D2137" s="23" t="s">
        <v>613</v>
      </c>
      <c r="E2137" s="13"/>
      <c r="G2137" s="13"/>
    </row>
    <row r="2138" spans="2:8" hidden="1" outlineLevel="1">
      <c r="B2138" s="12" t="s">
        <v>2541</v>
      </c>
      <c r="C2138" s="9" t="str">
        <f>C2127</f>
        <v>Show</v>
      </c>
      <c r="D2138" s="23"/>
      <c r="E2138" s="12" t="s">
        <v>2320</v>
      </c>
      <c r="G2138" s="13"/>
    </row>
    <row r="2139" spans="2:8" hidden="1" outlineLevel="1">
      <c r="B2139" s="76" t="s">
        <v>2537</v>
      </c>
      <c r="C2139" s="9" t="str">
        <f>C2133</f>
        <v>Show</v>
      </c>
      <c r="D2139" s="23"/>
      <c r="E2139" s="12"/>
      <c r="F2139" s="70" t="s">
        <v>119</v>
      </c>
      <c r="G2139" s="12" t="s">
        <v>3435</v>
      </c>
    </row>
    <row r="2140" spans="2:8" hidden="1" outlineLevel="1">
      <c r="B2140" s="76" t="s">
        <v>2537</v>
      </c>
      <c r="C2140" s="9" t="str">
        <f>C2133</f>
        <v>Show</v>
      </c>
      <c r="D2140" s="23"/>
      <c r="E2140" s="12"/>
      <c r="G2140" s="30" t="s">
        <v>121</v>
      </c>
      <c r="H2140" s="75" t="s">
        <v>2539</v>
      </c>
    </row>
    <row r="2141" spans="2:8" hidden="1" outlineLevel="1">
      <c r="B2141" s="76" t="s">
        <v>2543</v>
      </c>
      <c r="C2141" s="9" t="str">
        <f>IF(OR('1. Criteria &amp; Spec Matrix'!E205='3. Dropdowns'!C249),"Show",
IF(OR('1. Criteria &amp; Spec Matrix'!E205=""),"Show","Hide"))</f>
        <v>Show</v>
      </c>
      <c r="D2141" s="23"/>
      <c r="E2141" s="12"/>
      <c r="F2141" s="70" t="str">
        <f>IF(C2139="Show","B.","A.")</f>
        <v>B.</v>
      </c>
      <c r="G2141" s="12" t="s">
        <v>3431</v>
      </c>
    </row>
    <row r="2142" spans="2:8" hidden="1" outlineLevel="1">
      <c r="B2142" s="76" t="s">
        <v>2543</v>
      </c>
      <c r="C2142" s="9" t="str">
        <f>C2141</f>
        <v>Show</v>
      </c>
      <c r="D2142" s="23"/>
      <c r="E2142" s="12"/>
      <c r="G2142" s="30" t="s">
        <v>121</v>
      </c>
      <c r="H2142" s="75" t="s">
        <v>2408</v>
      </c>
    </row>
    <row r="2143" spans="2:8" hidden="1" outlineLevel="1">
      <c r="B2143" s="76" t="s">
        <v>2535</v>
      </c>
      <c r="C2143" s="9" t="str">
        <f>C2135</f>
        <v>Show</v>
      </c>
      <c r="D2143" s="23"/>
      <c r="E2143" s="12"/>
      <c r="F2143" s="70" t="str">
        <f>IF(AND(C2139="Show",C2141="Show"),"C.",IF(OR(C2139="Show",C2141="Show"),"B.","A."))</f>
        <v>C.</v>
      </c>
      <c r="G2143" s="12" t="s">
        <v>3433</v>
      </c>
    </row>
    <row r="2144" spans="2:8" hidden="1" outlineLevel="1">
      <c r="B2144" s="76" t="s">
        <v>2535</v>
      </c>
      <c r="C2144" s="9" t="str">
        <f>C2135</f>
        <v>Show</v>
      </c>
      <c r="D2144" s="23"/>
      <c r="E2144" s="12"/>
      <c r="G2144" s="30" t="s">
        <v>121</v>
      </c>
      <c r="H2144" s="75" t="s">
        <v>2530</v>
      </c>
    </row>
    <row r="2145" spans="2:8" hidden="1" outlineLevel="1">
      <c r="B2145" s="12" t="s">
        <v>2541</v>
      </c>
      <c r="C2145" s="9" t="str">
        <f>C2127</f>
        <v>Show</v>
      </c>
      <c r="D2145" s="23" t="s">
        <v>187</v>
      </c>
      <c r="E2145" s="13"/>
      <c r="G2145" s="13"/>
    </row>
    <row r="2146" spans="2:8" hidden="1" outlineLevel="1">
      <c r="B2146" s="12" t="s">
        <v>2541</v>
      </c>
      <c r="C2146" s="9" t="str">
        <f>C2127</f>
        <v>Show</v>
      </c>
      <c r="D2146" s="23"/>
      <c r="E2146" s="12" t="str">
        <f>IF(C2133="Show","3.1 Execution Requirements","(no EGC requirements)")</f>
        <v>3.1 Execution Requirements</v>
      </c>
      <c r="G2146" s="13"/>
    </row>
    <row r="2147" spans="2:8" hidden="1" outlineLevel="1">
      <c r="B2147" s="76" t="s">
        <v>2537</v>
      </c>
      <c r="C2147" s="9" t="str">
        <f>C2133</f>
        <v>Show</v>
      </c>
      <c r="D2147" s="23"/>
      <c r="E2147" s="13"/>
      <c r="F2147" s="70" t="s">
        <v>119</v>
      </c>
      <c r="G2147" s="12" t="s">
        <v>3436</v>
      </c>
    </row>
    <row r="2148" spans="2:8" ht="30" hidden="1" outlineLevel="1">
      <c r="B2148" s="76" t="s">
        <v>2537</v>
      </c>
      <c r="C2148" s="9" t="str">
        <f>C2133</f>
        <v>Show</v>
      </c>
      <c r="D2148" s="23"/>
      <c r="E2148" s="13"/>
      <c r="G2148" s="78" t="s">
        <v>121</v>
      </c>
      <c r="H2148" s="75" t="s">
        <v>2540</v>
      </c>
    </row>
    <row r="2149" spans="2:8" hidden="1" outlineLevel="1">
      <c r="B2149" s="12" t="s">
        <v>2541</v>
      </c>
      <c r="C2149" s="9" t="str">
        <f>C2127</f>
        <v>Show</v>
      </c>
    </row>
    <row r="2150" spans="2:8" collapsed="1">
      <c r="B2150" s="12" t="s">
        <v>2537</v>
      </c>
      <c r="C2150" s="2" t="str">
        <f>C2110</f>
        <v>Show</v>
      </c>
      <c r="D2150" s="55" t="s">
        <v>1629</v>
      </c>
      <c r="E2150" s="55"/>
      <c r="F2150" s="57" t="s">
        <v>1608</v>
      </c>
      <c r="G2150" s="53"/>
      <c r="H2150" s="54"/>
    </row>
    <row r="2151" spans="2:8" hidden="1" outlineLevel="1">
      <c r="B2151" s="12" t="s">
        <v>2537</v>
      </c>
      <c r="C2151" s="9" t="str">
        <f>C2150</f>
        <v>Show</v>
      </c>
      <c r="D2151" s="23" t="s">
        <v>117</v>
      </c>
      <c r="E2151" s="13"/>
      <c r="G2151" s="13"/>
    </row>
    <row r="2152" spans="2:8" hidden="1" outlineLevel="1">
      <c r="B2152" s="12" t="s">
        <v>2537</v>
      </c>
      <c r="C2152" s="9" t="str">
        <f>C2150</f>
        <v>Show</v>
      </c>
      <c r="D2152" s="23"/>
      <c r="E2152" s="13">
        <v>1.1000000000000001</v>
      </c>
      <c r="F2152" s="11" t="s">
        <v>118</v>
      </c>
      <c r="G2152" s="13"/>
    </row>
    <row r="2153" spans="2:8" hidden="1" outlineLevel="1">
      <c r="B2153" s="12" t="s">
        <v>2537</v>
      </c>
      <c r="C2153" s="9" t="str">
        <f>C2150</f>
        <v>Show</v>
      </c>
      <c r="D2153" s="23"/>
      <c r="E2153" s="13"/>
      <c r="F2153" s="70" t="s">
        <v>119</v>
      </c>
      <c r="G2153" s="18" t="s">
        <v>677</v>
      </c>
    </row>
    <row r="2154" spans="2:8" hidden="1" outlineLevel="1">
      <c r="B2154" s="12" t="s">
        <v>2537</v>
      </c>
      <c r="C2154" s="9" t="str">
        <f>C2150</f>
        <v>Show</v>
      </c>
      <c r="D2154" s="23"/>
      <c r="E2154" s="13"/>
      <c r="F2154" s="70"/>
      <c r="G2154" s="78" t="s">
        <v>121</v>
      </c>
      <c r="H2154" s="79" t="s">
        <v>2301</v>
      </c>
    </row>
    <row r="2155" spans="2:8" hidden="1" outlineLevel="1">
      <c r="B2155" s="12" t="s">
        <v>2537</v>
      </c>
      <c r="C2155" s="9" t="str">
        <f>C2150</f>
        <v>Show</v>
      </c>
      <c r="D2155" s="23"/>
      <c r="E2155" s="13">
        <v>1.2</v>
      </c>
      <c r="F2155" s="71" t="s">
        <v>131</v>
      </c>
      <c r="G2155" s="78"/>
    </row>
    <row r="2156" spans="2:8" hidden="1" outlineLevel="1">
      <c r="B2156" s="12" t="s">
        <v>2537</v>
      </c>
      <c r="C2156" s="9" t="str">
        <f>C2150</f>
        <v>Show</v>
      </c>
      <c r="D2156" s="23"/>
      <c r="E2156" s="13"/>
      <c r="F2156" s="70" t="s">
        <v>119</v>
      </c>
      <c r="G2156" s="12" t="s">
        <v>3435</v>
      </c>
    </row>
    <row r="2157" spans="2:8" hidden="1" outlineLevel="1">
      <c r="B2157" s="12" t="s">
        <v>2537</v>
      </c>
      <c r="C2157" s="9" t="str">
        <f>C2150</f>
        <v>Show</v>
      </c>
      <c r="D2157" s="23"/>
      <c r="E2157" s="13"/>
      <c r="F2157" s="70"/>
      <c r="G2157" s="78" t="s">
        <v>121</v>
      </c>
      <c r="H2157" s="75" t="s">
        <v>2538</v>
      </c>
    </row>
    <row r="2158" spans="2:8" hidden="1" outlineLevel="1">
      <c r="B2158" s="12" t="s">
        <v>2537</v>
      </c>
      <c r="C2158" s="9" t="str">
        <f>C2150</f>
        <v>Show</v>
      </c>
      <c r="D2158" s="23" t="s">
        <v>613</v>
      </c>
      <c r="E2158" s="13"/>
      <c r="G2158" s="13"/>
    </row>
    <row r="2159" spans="2:8" hidden="1" outlineLevel="1">
      <c r="B2159" s="12" t="s">
        <v>2537</v>
      </c>
      <c r="C2159" s="9" t="str">
        <f>C2150</f>
        <v>Show</v>
      </c>
      <c r="D2159" s="23"/>
      <c r="E2159" s="12" t="s">
        <v>2320</v>
      </c>
      <c r="G2159" s="13"/>
    </row>
    <row r="2160" spans="2:8" hidden="1" outlineLevel="1">
      <c r="B2160" s="12" t="s">
        <v>2537</v>
      </c>
      <c r="C2160" s="9" t="str">
        <f>C2150</f>
        <v>Show</v>
      </c>
      <c r="D2160" s="23"/>
      <c r="E2160" s="12"/>
      <c r="F2160" s="11" t="s">
        <v>119</v>
      </c>
      <c r="G2160" s="12" t="s">
        <v>3435</v>
      </c>
    </row>
    <row r="2161" spans="2:8" hidden="1" outlineLevel="1">
      <c r="B2161" s="12" t="s">
        <v>2537</v>
      </c>
      <c r="C2161" s="9" t="str">
        <f>C2150</f>
        <v>Show</v>
      </c>
      <c r="D2161" s="23"/>
      <c r="E2161" s="12"/>
      <c r="G2161" s="30" t="s">
        <v>121</v>
      </c>
      <c r="H2161" s="75" t="s">
        <v>2539</v>
      </c>
    </row>
    <row r="2162" spans="2:8" hidden="1" outlineLevel="1">
      <c r="B2162" s="12" t="s">
        <v>2537</v>
      </c>
      <c r="C2162" s="9" t="str">
        <f>C2150</f>
        <v>Show</v>
      </c>
      <c r="D2162" s="23" t="s">
        <v>187</v>
      </c>
      <c r="E2162" s="13"/>
      <c r="G2162" s="13"/>
    </row>
    <row r="2163" spans="2:8" hidden="1" outlineLevel="1">
      <c r="B2163" s="12" t="s">
        <v>2537</v>
      </c>
      <c r="C2163" s="9" t="str">
        <f>C2150</f>
        <v>Show</v>
      </c>
      <c r="D2163" s="23"/>
      <c r="E2163" s="13">
        <v>3.1</v>
      </c>
      <c r="F2163" s="11" t="s">
        <v>616</v>
      </c>
      <c r="G2163" s="13"/>
    </row>
    <row r="2164" spans="2:8" hidden="1" outlineLevel="1">
      <c r="B2164" s="12" t="s">
        <v>2537</v>
      </c>
      <c r="C2164" s="9" t="str">
        <f>C2150</f>
        <v>Show</v>
      </c>
      <c r="D2164" s="23"/>
      <c r="E2164" s="13"/>
      <c r="F2164" s="70" t="s">
        <v>119</v>
      </c>
      <c r="G2164" s="12" t="s">
        <v>3435</v>
      </c>
    </row>
    <row r="2165" spans="2:8" ht="30" hidden="1" outlineLevel="1">
      <c r="B2165" s="12" t="s">
        <v>2537</v>
      </c>
      <c r="C2165" s="9" t="str">
        <f>C2150</f>
        <v>Show</v>
      </c>
      <c r="D2165" s="23"/>
      <c r="E2165" s="13"/>
      <c r="G2165" s="78" t="s">
        <v>121</v>
      </c>
      <c r="H2165" s="75" t="s">
        <v>2540</v>
      </c>
    </row>
    <row r="2166" spans="2:8" hidden="1" outlineLevel="1">
      <c r="B2166" s="12" t="s">
        <v>2537</v>
      </c>
      <c r="C2166" s="9" t="str">
        <f>C2150</f>
        <v>Show</v>
      </c>
      <c r="D2166" s="23"/>
      <c r="E2166" s="13"/>
      <c r="G2166" s="78"/>
    </row>
    <row r="2167" spans="2:8" collapsed="1">
      <c r="B2167" s="12" t="s">
        <v>2514</v>
      </c>
      <c r="C2167" s="2" t="str">
        <f>C2078</f>
        <v>Show</v>
      </c>
      <c r="D2167" s="55" t="s">
        <v>251</v>
      </c>
      <c r="E2167" s="55"/>
      <c r="F2167" s="57" t="s">
        <v>252</v>
      </c>
      <c r="G2167" s="53"/>
      <c r="H2167" s="54"/>
    </row>
    <row r="2168" spans="2:8" hidden="1" outlineLevel="1">
      <c r="B2168" s="12" t="s">
        <v>2515</v>
      </c>
      <c r="C2168" s="9" t="str">
        <f>C2167</f>
        <v>Show</v>
      </c>
      <c r="D2168" s="23" t="s">
        <v>117</v>
      </c>
      <c r="E2168" s="13"/>
      <c r="G2168" s="13"/>
    </row>
    <row r="2169" spans="2:8" hidden="1" outlineLevel="1">
      <c r="B2169" s="12" t="s">
        <v>2516</v>
      </c>
      <c r="C2169" s="9" t="str">
        <f>C2167</f>
        <v>Show</v>
      </c>
      <c r="D2169" s="23"/>
      <c r="E2169" s="13">
        <v>1.1000000000000001</v>
      </c>
      <c r="F2169" s="11" t="s">
        <v>118</v>
      </c>
      <c r="G2169" s="13"/>
    </row>
    <row r="2170" spans="2:8" hidden="1" outlineLevel="1">
      <c r="B2170" s="12" t="s">
        <v>2517</v>
      </c>
      <c r="C2170" s="9" t="str">
        <f>C2167</f>
        <v>Show</v>
      </c>
      <c r="D2170" s="23"/>
      <c r="E2170" s="13"/>
      <c r="F2170" s="70" t="s">
        <v>119</v>
      </c>
      <c r="G2170" s="18" t="s">
        <v>677</v>
      </c>
    </row>
    <row r="2171" spans="2:8" hidden="1" outlineLevel="1">
      <c r="B2171" s="12" t="s">
        <v>2518</v>
      </c>
      <c r="C2171" s="9" t="str">
        <f>C2167</f>
        <v>Show</v>
      </c>
      <c r="D2171" s="23"/>
      <c r="E2171" s="13"/>
      <c r="F2171" s="70"/>
      <c r="G2171" s="78" t="s">
        <v>121</v>
      </c>
      <c r="H2171" s="79" t="s">
        <v>2301</v>
      </c>
    </row>
    <row r="2172" spans="2:8" hidden="1" outlineLevel="1">
      <c r="B2172" s="12" t="s">
        <v>2519</v>
      </c>
      <c r="C2172" s="9" t="str">
        <f>C2167</f>
        <v>Show</v>
      </c>
      <c r="D2172" s="23"/>
      <c r="E2172" s="13">
        <v>1.2</v>
      </c>
      <c r="F2172" s="71" t="s">
        <v>131</v>
      </c>
      <c r="G2172" s="78"/>
    </row>
    <row r="2173" spans="2:8" hidden="1" outlineLevel="1">
      <c r="B2173" s="12" t="s">
        <v>2520</v>
      </c>
      <c r="C2173" s="9" t="str">
        <f>C2167</f>
        <v>Show</v>
      </c>
      <c r="D2173" s="23"/>
      <c r="E2173" s="13"/>
      <c r="F2173" s="70" t="s">
        <v>119</v>
      </c>
      <c r="G2173" s="12" t="s">
        <v>3433</v>
      </c>
    </row>
    <row r="2174" spans="2:8" hidden="1" outlineLevel="1">
      <c r="B2174" s="12" t="s">
        <v>2521</v>
      </c>
      <c r="C2174" s="9" t="str">
        <f>C2167</f>
        <v>Show</v>
      </c>
      <c r="D2174" s="23"/>
      <c r="E2174" s="13"/>
      <c r="F2174" s="70"/>
      <c r="G2174" s="78" t="s">
        <v>121</v>
      </c>
      <c r="H2174" s="75" t="s">
        <v>2529</v>
      </c>
    </row>
    <row r="2175" spans="2:8" hidden="1" outlineLevel="1">
      <c r="B2175" s="12" t="s">
        <v>2522</v>
      </c>
      <c r="C2175" s="9" t="str">
        <f>C2167</f>
        <v>Show</v>
      </c>
      <c r="D2175" s="23" t="s">
        <v>613</v>
      </c>
      <c r="E2175" s="13"/>
      <c r="G2175" s="13"/>
    </row>
    <row r="2176" spans="2:8" hidden="1" outlineLevel="1">
      <c r="B2176" s="12" t="s">
        <v>2523</v>
      </c>
      <c r="C2176" s="9" t="str">
        <f>C2167</f>
        <v>Show</v>
      </c>
      <c r="D2176" s="23"/>
      <c r="E2176" s="12" t="s">
        <v>2320</v>
      </c>
      <c r="G2176" s="13"/>
    </row>
    <row r="2177" spans="2:8" hidden="1" outlineLevel="1">
      <c r="B2177" s="12" t="s">
        <v>2524</v>
      </c>
      <c r="C2177" s="9" t="str">
        <f>C2167</f>
        <v>Show</v>
      </c>
      <c r="D2177" s="23"/>
      <c r="E2177" s="12"/>
      <c r="F2177" s="11" t="s">
        <v>119</v>
      </c>
      <c r="G2177" s="12" t="s">
        <v>3433</v>
      </c>
    </row>
    <row r="2178" spans="2:8" hidden="1" outlineLevel="1">
      <c r="B2178" s="12" t="s">
        <v>2525</v>
      </c>
      <c r="C2178" s="9" t="str">
        <f>C2167</f>
        <v>Show</v>
      </c>
      <c r="D2178" s="23"/>
      <c r="E2178" s="12"/>
      <c r="G2178" s="30" t="s">
        <v>121</v>
      </c>
      <c r="H2178" s="75" t="s">
        <v>2530</v>
      </c>
    </row>
    <row r="2179" spans="2:8" hidden="1" outlineLevel="1">
      <c r="B2179" s="12" t="s">
        <v>2526</v>
      </c>
      <c r="C2179" s="9" t="str">
        <f>C2167</f>
        <v>Show</v>
      </c>
      <c r="D2179" s="23" t="s">
        <v>187</v>
      </c>
      <c r="E2179" s="13"/>
      <c r="G2179" s="13"/>
    </row>
    <row r="2180" spans="2:8" hidden="1" outlineLevel="1">
      <c r="B2180" s="12" t="s">
        <v>2527</v>
      </c>
      <c r="C2180" s="9" t="str">
        <f>C2167</f>
        <v>Show</v>
      </c>
      <c r="D2180" s="23"/>
      <c r="E2180" s="12" t="s">
        <v>679</v>
      </c>
      <c r="G2180" s="13"/>
    </row>
    <row r="2181" spans="2:8" hidden="1" outlineLevel="1">
      <c r="B2181" s="12" t="s">
        <v>2528</v>
      </c>
      <c r="C2181" s="9" t="str">
        <f>C2167</f>
        <v>Show</v>
      </c>
    </row>
    <row r="2182" spans="2:8" collapsed="1">
      <c r="B2182" s="12" t="s">
        <v>2544</v>
      </c>
      <c r="C2182" s="2" t="str">
        <f>IF(OR('1. Criteria &amp; Spec Matrix'!E277='3. Dropdowns'!C362,'1. Criteria &amp; Spec Matrix'!E277=""),"Show","Hide")</f>
        <v>Show</v>
      </c>
      <c r="D2182" s="55" t="s">
        <v>1630</v>
      </c>
      <c r="E2182" s="55"/>
      <c r="F2182" s="57" t="s">
        <v>1609</v>
      </c>
      <c r="G2182" s="53"/>
      <c r="H2182" s="54"/>
    </row>
    <row r="2183" spans="2:8" hidden="1" outlineLevel="1">
      <c r="B2183" s="12" t="s">
        <v>2544</v>
      </c>
      <c r="C2183" s="9" t="str">
        <f>C2182</f>
        <v>Show</v>
      </c>
      <c r="D2183" s="23" t="s">
        <v>117</v>
      </c>
      <c r="E2183" s="13"/>
      <c r="G2183" s="13"/>
    </row>
    <row r="2184" spans="2:8" hidden="1" outlineLevel="1">
      <c r="B2184" s="12" t="s">
        <v>2544</v>
      </c>
      <c r="C2184" s="9" t="str">
        <f>C2182</f>
        <v>Show</v>
      </c>
      <c r="D2184" s="23"/>
      <c r="E2184" s="13">
        <v>1.1000000000000001</v>
      </c>
      <c r="F2184" s="11" t="s">
        <v>118</v>
      </c>
      <c r="G2184" s="13"/>
    </row>
    <row r="2185" spans="2:8" hidden="1" outlineLevel="1">
      <c r="B2185" s="12" t="s">
        <v>2544</v>
      </c>
      <c r="C2185" s="9" t="str">
        <f>C2182</f>
        <v>Show</v>
      </c>
      <c r="D2185" s="23"/>
      <c r="E2185" s="13"/>
      <c r="F2185" s="70" t="s">
        <v>119</v>
      </c>
      <c r="G2185" s="18" t="s">
        <v>677</v>
      </c>
    </row>
    <row r="2186" spans="2:8" hidden="1" outlineLevel="1">
      <c r="B2186" s="12" t="s">
        <v>2544</v>
      </c>
      <c r="C2186" s="9" t="str">
        <f>C2182</f>
        <v>Show</v>
      </c>
      <c r="D2186" s="23"/>
      <c r="E2186" s="13"/>
      <c r="F2186" s="70"/>
      <c r="G2186" s="78" t="s">
        <v>121</v>
      </c>
      <c r="H2186" s="79" t="s">
        <v>2301</v>
      </c>
    </row>
    <row r="2187" spans="2:8" hidden="1" outlineLevel="1">
      <c r="B2187" s="12" t="s">
        <v>2544</v>
      </c>
      <c r="C2187" s="9" t="str">
        <f>C2182</f>
        <v>Show</v>
      </c>
      <c r="D2187" s="23"/>
      <c r="E2187" s="13">
        <v>1.2</v>
      </c>
      <c r="F2187" s="71" t="s">
        <v>131</v>
      </c>
      <c r="G2187" s="78"/>
    </row>
    <row r="2188" spans="2:8" ht="30" hidden="1" outlineLevel="1">
      <c r="B2188" s="12" t="s">
        <v>2544</v>
      </c>
      <c r="C2188" s="9" t="str">
        <f>C2182</f>
        <v>Show</v>
      </c>
      <c r="D2188" s="23"/>
      <c r="E2188" s="13"/>
      <c r="F2188" s="70" t="s">
        <v>119</v>
      </c>
      <c r="H2188" s="75" t="s">
        <v>3437</v>
      </c>
    </row>
    <row r="2189" spans="2:8" ht="30" hidden="1" outlineLevel="1">
      <c r="B2189" s="12" t="s">
        <v>2544</v>
      </c>
      <c r="C2189" s="9" t="str">
        <f>C2182</f>
        <v>Show</v>
      </c>
      <c r="D2189" s="23"/>
      <c r="E2189" s="13"/>
      <c r="F2189" s="70"/>
      <c r="G2189" s="78" t="s">
        <v>121</v>
      </c>
      <c r="H2189" s="75" t="s">
        <v>2545</v>
      </c>
    </row>
    <row r="2190" spans="2:8" hidden="1" outlineLevel="1">
      <c r="B2190" s="12" t="s">
        <v>2544</v>
      </c>
      <c r="C2190" s="9" t="str">
        <f>C2182</f>
        <v>Show</v>
      </c>
      <c r="D2190" s="23" t="s">
        <v>613</v>
      </c>
      <c r="E2190" s="13"/>
      <c r="G2190" s="13"/>
    </row>
    <row r="2191" spans="2:8" hidden="1" outlineLevel="1">
      <c r="B2191" s="12" t="s">
        <v>2544</v>
      </c>
      <c r="C2191" s="9" t="str">
        <f>C2182</f>
        <v>Show</v>
      </c>
      <c r="D2191" s="23"/>
      <c r="E2191" s="12" t="s">
        <v>679</v>
      </c>
      <c r="G2191" s="13"/>
    </row>
    <row r="2192" spans="2:8" hidden="1" outlineLevel="1">
      <c r="B2192" s="12" t="s">
        <v>2544</v>
      </c>
      <c r="C2192" s="9" t="str">
        <f>C2182</f>
        <v>Show</v>
      </c>
      <c r="D2192" s="23" t="s">
        <v>187</v>
      </c>
      <c r="E2192" s="13"/>
      <c r="G2192" s="13"/>
    </row>
    <row r="2193" spans="2:8" hidden="1" outlineLevel="1">
      <c r="B2193" s="12" t="s">
        <v>2544</v>
      </c>
      <c r="C2193" s="9" t="str">
        <f>C2182</f>
        <v>Show</v>
      </c>
      <c r="D2193" s="23"/>
      <c r="E2193" s="13">
        <v>3.1</v>
      </c>
      <c r="F2193" s="11" t="s">
        <v>616</v>
      </c>
      <c r="G2193" s="13"/>
    </row>
    <row r="2194" spans="2:8" ht="30" hidden="1" outlineLevel="1">
      <c r="B2194" s="12" t="s">
        <v>2544</v>
      </c>
      <c r="C2194" s="9" t="str">
        <f>C2182</f>
        <v>Show</v>
      </c>
      <c r="D2194" s="23"/>
      <c r="E2194" s="13"/>
      <c r="F2194" s="70" t="s">
        <v>119</v>
      </c>
      <c r="G2194" s="12"/>
      <c r="H2194" s="75" t="s">
        <v>3437</v>
      </c>
    </row>
    <row r="2195" spans="2:8" ht="30" hidden="1" outlineLevel="1">
      <c r="B2195" s="12" t="s">
        <v>2544</v>
      </c>
      <c r="C2195" s="9" t="str">
        <f>C2182</f>
        <v>Show</v>
      </c>
      <c r="D2195" s="23"/>
      <c r="E2195" s="13"/>
      <c r="G2195" s="78" t="s">
        <v>121</v>
      </c>
      <c r="H2195" s="75" t="s">
        <v>2940</v>
      </c>
    </row>
    <row r="2196" spans="2:8" hidden="1" outlineLevel="1">
      <c r="B2196" s="12" t="s">
        <v>2544</v>
      </c>
      <c r="C2196" s="9" t="str">
        <f>C2182</f>
        <v>Show</v>
      </c>
    </row>
    <row r="2197" spans="2:8" collapsed="1">
      <c r="B2197" s="76" t="s">
        <v>2532</v>
      </c>
      <c r="C2197" s="7" t="str">
        <f>C2062</f>
        <v>Show</v>
      </c>
      <c r="D2197" s="86"/>
      <c r="E2197" s="12"/>
      <c r="F2197" s="12"/>
      <c r="G2197" s="69"/>
    </row>
    <row r="2198" spans="2:8">
      <c r="B2198" s="76"/>
      <c r="C2198" s="7" t="s">
        <v>116</v>
      </c>
      <c r="D2198" s="38" t="s">
        <v>550</v>
      </c>
      <c r="E2198" s="44"/>
      <c r="F2198" s="39"/>
      <c r="G2198" s="39"/>
      <c r="H2198" s="41"/>
    </row>
    <row r="2199" spans="2:8">
      <c r="B2199" s="23"/>
      <c r="C2199" s="9" t="s">
        <v>1010</v>
      </c>
      <c r="D2199" s="55" t="s">
        <v>1778</v>
      </c>
      <c r="E2199" s="55"/>
      <c r="F2199" s="57" t="s">
        <v>1779</v>
      </c>
      <c r="G2199" s="59"/>
      <c r="H2199" s="58"/>
    </row>
    <row r="2200" spans="2:8" hidden="1" outlineLevel="1">
      <c r="B2200" s="76"/>
      <c r="C2200" s="9" t="s">
        <v>1010</v>
      </c>
      <c r="D2200" s="23" t="s">
        <v>117</v>
      </c>
      <c r="E2200" s="13"/>
      <c r="G2200" s="13"/>
    </row>
    <row r="2201" spans="2:8" hidden="1" outlineLevel="1">
      <c r="B2201" s="76"/>
      <c r="C2201" s="9" t="s">
        <v>1010</v>
      </c>
      <c r="D2201" s="23"/>
      <c r="E2201" s="13">
        <v>1.1000000000000001</v>
      </c>
      <c r="F2201" s="11" t="s">
        <v>118</v>
      </c>
      <c r="G2201" s="13"/>
    </row>
    <row r="2202" spans="2:8" hidden="1" outlineLevel="1">
      <c r="B2202" s="76"/>
      <c r="C2202" s="9" t="s">
        <v>1010</v>
      </c>
      <c r="D2202" s="23"/>
      <c r="E2202" s="13"/>
      <c r="F2202" s="70" t="s">
        <v>119</v>
      </c>
      <c r="G2202" s="18" t="s">
        <v>677</v>
      </c>
    </row>
    <row r="2203" spans="2:8" hidden="1" outlineLevel="1">
      <c r="B2203" s="76"/>
      <c r="C2203" s="9" t="s">
        <v>1010</v>
      </c>
      <c r="D2203" s="23"/>
      <c r="E2203" s="13"/>
      <c r="F2203" s="70"/>
      <c r="G2203" s="78" t="s">
        <v>121</v>
      </c>
      <c r="H2203" s="79" t="s">
        <v>2301</v>
      </c>
    </row>
    <row r="2204" spans="2:8" hidden="1" outlineLevel="1">
      <c r="B2204" s="76"/>
      <c r="C2204" s="9" t="s">
        <v>1010</v>
      </c>
      <c r="D2204" s="23"/>
      <c r="E2204" s="13">
        <v>1.2</v>
      </c>
      <c r="F2204" s="71" t="s">
        <v>131</v>
      </c>
      <c r="G2204" s="78"/>
    </row>
    <row r="2205" spans="2:8" hidden="1" outlineLevel="1">
      <c r="B2205" s="76" t="s">
        <v>2552</v>
      </c>
      <c r="C2205" s="9" t="str">
        <f>IF(OR('1. Criteria &amp; Spec Matrix'!E64='3. Dropdowns'!C98,'1. Criteria &amp; Spec Matrix'!E64='3. Dropdowns'!C99,'1. Criteria &amp; Spec Matrix'!E64='3. Dropdowns'!C101,'1. Criteria &amp; Spec Matrix'!E64='3. Dropdowns'!C100,'1. Criteria &amp; Spec Matrix'!E64='3. Dropdowns'!C102,'1. Criteria &amp; Spec Matrix'!E64='3. Dropdowns'!C103,'1. Criteria &amp; Spec Matrix'!E64='3. Dropdowns'!C105,'1. Criteria &amp; Spec Matrix'!E64='3. Dropdowns'!C106,'1. Criteria &amp; Spec Matrix'!E64='3. Dropdowns'!C107,'1. Criteria &amp; Spec Matrix'!E64='3. Dropdowns'!C108,'1. Criteria &amp; Spec Matrix'!E64='3. Dropdowns'!C109,'1. Criteria &amp; Spec Matrix'!E64='3. Dropdowns'!C110,'1. Criteria &amp; Spec Matrix'!E64='3. Dropdowns'!C112),"Show",
IF(OR(AND('1. Criteria &amp; Spec Matrix'!C64="Show",'1. Criteria &amp; Spec Matrix'!E64=""),AND('1. Criteria &amp; Spec Matrix'!C65="Show",'1. Criteria &amp; Spec Matrix'!E65=""),'1. Criteria &amp; Spec Matrix'!E66=""),"Show","Hide"))</f>
        <v>Show</v>
      </c>
      <c r="D2205" s="23"/>
      <c r="E2205" s="13"/>
      <c r="F2205" s="70" t="s">
        <v>119</v>
      </c>
      <c r="G2205" s="12" t="s">
        <v>3438</v>
      </c>
    </row>
    <row r="2206" spans="2:8" hidden="1" outlineLevel="1">
      <c r="B2206" s="76" t="s">
        <v>2552</v>
      </c>
      <c r="C2206" s="9" t="str">
        <f>C2205</f>
        <v>Show</v>
      </c>
      <c r="D2206" s="23"/>
      <c r="E2206" s="13"/>
      <c r="F2206" s="70"/>
      <c r="G2206" s="78" t="s">
        <v>121</v>
      </c>
      <c r="H2206" s="75" t="s">
        <v>2546</v>
      </c>
    </row>
    <row r="2207" spans="2:8" hidden="1" outlineLevel="1">
      <c r="B2207" s="76" t="s">
        <v>2553</v>
      </c>
      <c r="C2207" s="9" t="str">
        <f>IF(OR('1. Criteria &amp; Spec Matrix'!E141="",'1. Criteria &amp; Spec Matrix'!E141='3. Dropdowns'!C118,'1. Criteria &amp; Spec Matrix'!E141='3. Dropdowns'!C119,'1. Criteria &amp; Spec Matrix'!E141='3. Dropdowns'!C120),"Show","Hide")</f>
        <v>Show</v>
      </c>
      <c r="D2207" s="23"/>
      <c r="E2207" s="13"/>
      <c r="F2207" s="70" t="str">
        <f>IF(C2205="Show","B.","A.")</f>
        <v>B.</v>
      </c>
      <c r="G2207" s="12" t="s">
        <v>3439</v>
      </c>
    </row>
    <row r="2208" spans="2:8" hidden="1" outlineLevel="1">
      <c r="B2208" s="76" t="s">
        <v>2553</v>
      </c>
      <c r="C2208" s="9" t="str">
        <f>C2207</f>
        <v>Show</v>
      </c>
      <c r="D2208" s="23"/>
      <c r="E2208" s="13"/>
      <c r="F2208" s="70"/>
      <c r="G2208" s="78"/>
      <c r="H2208" s="75" t="s">
        <v>2547</v>
      </c>
    </row>
    <row r="2209" spans="2:8" hidden="1" outlineLevel="1">
      <c r="B2209" s="76"/>
      <c r="C2209" s="9" t="s">
        <v>1010</v>
      </c>
      <c r="D2209" s="23"/>
      <c r="E2209" s="13"/>
      <c r="F2209" s="70" t="str">
        <f>IF(AND(C2205="Show",C2207="Show"),"C.",IF(OR(C2205="Show",C2207="Show"),"B.","A."))</f>
        <v>C.</v>
      </c>
      <c r="G2209" s="12" t="s">
        <v>3440</v>
      </c>
    </row>
    <row r="2210" spans="2:8" hidden="1" outlineLevel="1">
      <c r="B2210" s="76"/>
      <c r="C2210" s="9" t="s">
        <v>116</v>
      </c>
      <c r="D2210" s="23"/>
      <c r="E2210" s="13"/>
      <c r="F2210" s="70"/>
      <c r="G2210" s="78"/>
      <c r="H2210" s="75" t="s">
        <v>2529</v>
      </c>
    </row>
    <row r="2211" spans="2:8" hidden="1" outlineLevel="1">
      <c r="B2211" s="76"/>
      <c r="C2211" s="9" t="s">
        <v>1010</v>
      </c>
      <c r="D2211" s="23" t="s">
        <v>613</v>
      </c>
      <c r="E2211" s="13"/>
      <c r="G2211" s="13"/>
    </row>
    <row r="2212" spans="2:8" hidden="1" outlineLevel="1">
      <c r="B2212" s="76"/>
      <c r="C2212" s="9" t="s">
        <v>1010</v>
      </c>
      <c r="D2212" s="23"/>
      <c r="E2212" s="12" t="s">
        <v>2320</v>
      </c>
      <c r="G2212" s="13"/>
    </row>
    <row r="2213" spans="2:8" hidden="1" outlineLevel="1">
      <c r="B2213" s="76" t="s">
        <v>2552</v>
      </c>
      <c r="C2213" s="9" t="str">
        <f>C2205</f>
        <v>Show</v>
      </c>
      <c r="D2213" s="23"/>
      <c r="E2213" s="12"/>
      <c r="F2213" s="70" t="s">
        <v>119</v>
      </c>
      <c r="G2213" s="12" t="s">
        <v>3438</v>
      </c>
    </row>
    <row r="2214" spans="2:8" hidden="1" outlineLevel="1">
      <c r="B2214" s="76" t="s">
        <v>2552</v>
      </c>
      <c r="C2214" s="9" t="str">
        <f>C2205</f>
        <v>Show</v>
      </c>
      <c r="D2214" s="23"/>
      <c r="E2214" s="12"/>
      <c r="G2214" s="30" t="s">
        <v>121</v>
      </c>
      <c r="H2214" s="75" t="s">
        <v>2548</v>
      </c>
    </row>
    <row r="2215" spans="2:8" hidden="1" outlineLevel="1">
      <c r="B2215" s="76" t="s">
        <v>2553</v>
      </c>
      <c r="C2215" s="9" t="str">
        <f>C2207</f>
        <v>Show</v>
      </c>
      <c r="D2215" s="23"/>
      <c r="E2215" s="12"/>
      <c r="F2215" s="70" t="str">
        <f>IF(C2213="Show","B.","A.")</f>
        <v>B.</v>
      </c>
      <c r="G2215" s="12" t="s">
        <v>3439</v>
      </c>
    </row>
    <row r="2216" spans="2:8" hidden="1" outlineLevel="1">
      <c r="B2216" s="76" t="s">
        <v>2553</v>
      </c>
      <c r="C2216" s="9" t="str">
        <f>C2207</f>
        <v>Show</v>
      </c>
      <c r="D2216" s="23"/>
      <c r="E2216" s="12"/>
      <c r="G2216" s="30" t="s">
        <v>121</v>
      </c>
      <c r="H2216" s="75" t="s">
        <v>2549</v>
      </c>
    </row>
    <row r="2217" spans="2:8" hidden="1" outlineLevel="1">
      <c r="B2217" s="76"/>
      <c r="C2217" s="9" t="s">
        <v>1010</v>
      </c>
      <c r="D2217" s="23"/>
      <c r="E2217" s="12"/>
      <c r="F2217" s="70" t="str">
        <f>IF(AND(C2214="Show",C2216="Show"),"C.",IF(OR(C2214="Show",C2216="Show"),"B.","A."))</f>
        <v>C.</v>
      </c>
      <c r="G2217" s="12" t="s">
        <v>3440</v>
      </c>
    </row>
    <row r="2218" spans="2:8" hidden="1" outlineLevel="1">
      <c r="B2218" s="76"/>
      <c r="C2218" s="9" t="s">
        <v>1010</v>
      </c>
      <c r="D2218" s="23"/>
      <c r="E2218" s="12"/>
      <c r="G2218" s="30" t="s">
        <v>121</v>
      </c>
      <c r="H2218" s="75" t="s">
        <v>2530</v>
      </c>
    </row>
    <row r="2219" spans="2:8" hidden="1" outlineLevel="1">
      <c r="B2219" s="76"/>
      <c r="C2219" s="9" t="s">
        <v>1010</v>
      </c>
      <c r="D2219" s="23" t="s">
        <v>187</v>
      </c>
      <c r="E2219" s="13"/>
      <c r="G2219" s="13"/>
    </row>
    <row r="2220" spans="2:8" hidden="1" outlineLevel="1">
      <c r="B2220" s="76"/>
      <c r="C2220" s="9" t="s">
        <v>1010</v>
      </c>
      <c r="D2220" s="23"/>
      <c r="E2220" s="12" t="str">
        <f>IF(OR(C2221="Show",C2223="Show"),"3.1 Execution Requirements","(no EGC requirements)")</f>
        <v>3.1 Execution Requirements</v>
      </c>
      <c r="G2220" s="13"/>
    </row>
    <row r="2221" spans="2:8" hidden="1" outlineLevel="1">
      <c r="B2221" s="76" t="s">
        <v>2552</v>
      </c>
      <c r="C2221" s="9" t="str">
        <f>C2205</f>
        <v>Show</v>
      </c>
      <c r="D2221" s="23"/>
      <c r="E2221" s="13"/>
      <c r="F2221" s="70" t="s">
        <v>119</v>
      </c>
      <c r="G2221" s="12" t="s">
        <v>3438</v>
      </c>
    </row>
    <row r="2222" spans="2:8" hidden="1" outlineLevel="1">
      <c r="B2222" s="76" t="s">
        <v>2552</v>
      </c>
      <c r="C2222" s="9" t="str">
        <f>C2205</f>
        <v>Show</v>
      </c>
      <c r="D2222" s="23"/>
      <c r="E2222" s="13"/>
      <c r="G2222" s="78" t="s">
        <v>121</v>
      </c>
      <c r="H2222" s="75" t="s">
        <v>2550</v>
      </c>
    </row>
    <row r="2223" spans="2:8" hidden="1" outlineLevel="1">
      <c r="B2223" s="76" t="s">
        <v>2553</v>
      </c>
      <c r="C2223" s="9" t="str">
        <f>C2207</f>
        <v>Show</v>
      </c>
      <c r="D2223" s="23"/>
      <c r="E2223" s="13"/>
      <c r="F2223" s="70" t="str">
        <f>IF(C2221="Show","B.","A.")</f>
        <v>B.</v>
      </c>
      <c r="G2223" s="12" t="s">
        <v>3439</v>
      </c>
    </row>
    <row r="2224" spans="2:8" ht="30" hidden="1" outlineLevel="1">
      <c r="B2224" s="76" t="s">
        <v>2553</v>
      </c>
      <c r="C2224" s="9" t="str">
        <f>C2207</f>
        <v>Show</v>
      </c>
      <c r="D2224" s="23"/>
      <c r="E2224" s="13"/>
      <c r="G2224" s="78" t="s">
        <v>121</v>
      </c>
      <c r="H2224" s="75" t="s">
        <v>2551</v>
      </c>
    </row>
    <row r="2225" spans="2:8" hidden="1" outlineLevel="1">
      <c r="B2225" s="76"/>
      <c r="C2225" s="9" t="s">
        <v>116</v>
      </c>
    </row>
    <row r="2226" spans="2:8" collapsed="1">
      <c r="B2226" s="12" t="s">
        <v>2554</v>
      </c>
      <c r="C2226" s="2" t="str">
        <f>IF(OR(C2232="Show",C2234="Show"),"Show","Hide")</f>
        <v>Show</v>
      </c>
      <c r="D2226" s="55" t="s">
        <v>1632</v>
      </c>
      <c r="E2226" s="55"/>
      <c r="F2226" s="57" t="s">
        <v>1610</v>
      </c>
      <c r="G2226" s="53"/>
      <c r="H2226" s="54"/>
    </row>
    <row r="2227" spans="2:8" hidden="1" outlineLevel="1">
      <c r="B2227" s="12" t="s">
        <v>2554</v>
      </c>
      <c r="C2227" s="9" t="str">
        <f>C2226</f>
        <v>Show</v>
      </c>
      <c r="D2227" s="23" t="s">
        <v>117</v>
      </c>
      <c r="E2227" s="13"/>
      <c r="G2227" s="13"/>
    </row>
    <row r="2228" spans="2:8" hidden="1" outlineLevel="1">
      <c r="B2228" s="12" t="s">
        <v>2554</v>
      </c>
      <c r="C2228" s="9" t="str">
        <f>C2226</f>
        <v>Show</v>
      </c>
      <c r="D2228" s="23"/>
      <c r="E2228" s="13">
        <v>1.1000000000000001</v>
      </c>
      <c r="F2228" s="11" t="s">
        <v>118</v>
      </c>
      <c r="G2228" s="13"/>
    </row>
    <row r="2229" spans="2:8" hidden="1" outlineLevel="1">
      <c r="B2229" s="12" t="s">
        <v>2554</v>
      </c>
      <c r="C2229" s="9" t="str">
        <f>C2226</f>
        <v>Show</v>
      </c>
      <c r="D2229" s="23"/>
      <c r="E2229" s="13"/>
      <c r="F2229" s="70" t="s">
        <v>119</v>
      </c>
      <c r="G2229" s="18" t="s">
        <v>677</v>
      </c>
    </row>
    <row r="2230" spans="2:8" hidden="1" outlineLevel="1">
      <c r="B2230" s="12" t="s">
        <v>2554</v>
      </c>
      <c r="C2230" s="9" t="str">
        <f>C2226</f>
        <v>Show</v>
      </c>
      <c r="D2230" s="23"/>
      <c r="E2230" s="13"/>
      <c r="F2230" s="70"/>
      <c r="G2230" s="78" t="s">
        <v>121</v>
      </c>
      <c r="H2230" s="79" t="s">
        <v>2301</v>
      </c>
    </row>
    <row r="2231" spans="2:8" hidden="1" outlineLevel="1">
      <c r="B2231" s="12" t="s">
        <v>2554</v>
      </c>
      <c r="C2231" s="9" t="str">
        <f>C2226</f>
        <v>Show</v>
      </c>
      <c r="D2231" s="23"/>
      <c r="E2231" s="13">
        <v>1.2</v>
      </c>
      <c r="F2231" s="71" t="s">
        <v>131</v>
      </c>
      <c r="G2231" s="78"/>
    </row>
    <row r="2232" spans="2:8" hidden="1" outlineLevel="1">
      <c r="B2232" s="76" t="s">
        <v>2553</v>
      </c>
      <c r="C2232" s="9" t="str">
        <f>C2207</f>
        <v>Show</v>
      </c>
      <c r="D2232" s="23"/>
      <c r="E2232" s="13"/>
      <c r="F2232" s="70" t="s">
        <v>119</v>
      </c>
      <c r="G2232" s="12" t="s">
        <v>3439</v>
      </c>
    </row>
    <row r="2233" spans="2:8" hidden="1" outlineLevel="1">
      <c r="B2233" s="76" t="s">
        <v>2553</v>
      </c>
      <c r="C2233" s="9" t="str">
        <f>C2232</f>
        <v>Show</v>
      </c>
      <c r="D2233" s="23"/>
      <c r="E2233" s="13"/>
      <c r="F2233" s="70"/>
      <c r="G2233" s="78" t="s">
        <v>121</v>
      </c>
      <c r="H2233" s="75" t="s">
        <v>2547</v>
      </c>
    </row>
    <row r="2234" spans="2:8" hidden="1" outlineLevel="1">
      <c r="B2234" s="76" t="s">
        <v>724</v>
      </c>
      <c r="C2234" s="9" t="str">
        <f>IF(OR('1. Criteria &amp; Spec Matrix'!E162='3. Dropdowns'!C125,'1. Criteria &amp; Spec Matrix'!E162='3. Dropdowns'!C126,'1. Criteria &amp; Spec Matrix'!E162=""),"Show","Hide")</f>
        <v>Show</v>
      </c>
      <c r="D2234" s="23"/>
      <c r="E2234" s="13"/>
      <c r="F2234" s="70" t="str">
        <f>IF(C2233="Show","B.","A.")</f>
        <v>B.</v>
      </c>
      <c r="G2234" s="12" t="s">
        <v>3435</v>
      </c>
    </row>
    <row r="2235" spans="2:8" hidden="1" outlineLevel="1">
      <c r="B2235" s="76" t="s">
        <v>724</v>
      </c>
      <c r="C2235" s="9" t="str">
        <f>C2234</f>
        <v>Show</v>
      </c>
      <c r="D2235" s="23"/>
      <c r="E2235" s="13"/>
      <c r="G2235" s="78" t="s">
        <v>121</v>
      </c>
      <c r="H2235" s="75" t="s">
        <v>2538</v>
      </c>
    </row>
    <row r="2236" spans="2:8" hidden="1" outlineLevel="1">
      <c r="B2236" s="12" t="s">
        <v>2554</v>
      </c>
      <c r="C2236" s="9" t="str">
        <f>C2226</f>
        <v>Show</v>
      </c>
      <c r="D2236" s="23" t="s">
        <v>613</v>
      </c>
      <c r="E2236" s="13"/>
      <c r="G2236" s="13"/>
    </row>
    <row r="2237" spans="2:8" hidden="1" outlineLevel="1">
      <c r="B2237" s="12" t="s">
        <v>2554</v>
      </c>
      <c r="C2237" s="9" t="str">
        <f>C2226</f>
        <v>Show</v>
      </c>
      <c r="D2237" s="23"/>
      <c r="E2237" s="12" t="s">
        <v>2320</v>
      </c>
      <c r="G2237" s="13"/>
    </row>
    <row r="2238" spans="2:8" hidden="1" outlineLevel="1">
      <c r="B2238" s="76" t="s">
        <v>2553</v>
      </c>
      <c r="C2238" s="9" t="str">
        <f>C2232</f>
        <v>Show</v>
      </c>
      <c r="D2238" s="23"/>
      <c r="E2238" s="12"/>
      <c r="F2238" s="70" t="s">
        <v>119</v>
      </c>
      <c r="G2238" s="12" t="s">
        <v>3439</v>
      </c>
    </row>
    <row r="2239" spans="2:8" hidden="1" outlineLevel="1">
      <c r="B2239" s="76" t="s">
        <v>2553</v>
      </c>
      <c r="C2239" s="9" t="str">
        <f>C2232</f>
        <v>Show</v>
      </c>
      <c r="D2239" s="23"/>
      <c r="E2239" s="12"/>
      <c r="G2239" s="30" t="s">
        <v>121</v>
      </c>
      <c r="H2239" s="75" t="s">
        <v>2549</v>
      </c>
    </row>
    <row r="2240" spans="2:8" hidden="1" outlineLevel="1">
      <c r="B2240" s="76" t="s">
        <v>724</v>
      </c>
      <c r="C2240" s="9" t="str">
        <f>C2234</f>
        <v>Show</v>
      </c>
      <c r="D2240" s="23"/>
      <c r="E2240" s="12"/>
      <c r="F2240" s="70" t="str">
        <f>IF(C2239="Show","B.","A.")</f>
        <v>B.</v>
      </c>
      <c r="G2240" s="12" t="s">
        <v>3435</v>
      </c>
    </row>
    <row r="2241" spans="2:8" hidden="1" outlineLevel="1">
      <c r="B2241" s="76" t="s">
        <v>724</v>
      </c>
      <c r="C2241" s="9" t="str">
        <f>C2234</f>
        <v>Show</v>
      </c>
      <c r="D2241" s="23"/>
      <c r="E2241" s="12"/>
      <c r="G2241" s="78" t="s">
        <v>121</v>
      </c>
      <c r="H2241" s="75" t="s">
        <v>2539</v>
      </c>
    </row>
    <row r="2242" spans="2:8" hidden="1" outlineLevel="1">
      <c r="B2242" s="12" t="s">
        <v>2554</v>
      </c>
      <c r="C2242" s="9" t="str">
        <f>C2226</f>
        <v>Show</v>
      </c>
      <c r="D2242" s="23" t="s">
        <v>187</v>
      </c>
      <c r="E2242" s="13"/>
      <c r="G2242" s="13"/>
    </row>
    <row r="2243" spans="2:8" hidden="1" outlineLevel="1">
      <c r="B2243" s="12" t="s">
        <v>2554</v>
      </c>
      <c r="C2243" s="9" t="str">
        <f>C2226</f>
        <v>Show</v>
      </c>
      <c r="D2243" s="23"/>
      <c r="E2243" s="13">
        <v>3.1</v>
      </c>
      <c r="F2243" s="11" t="s">
        <v>616</v>
      </c>
      <c r="G2243" s="13"/>
    </row>
    <row r="2244" spans="2:8" hidden="1" outlineLevel="1">
      <c r="B2244" s="76" t="s">
        <v>2553</v>
      </c>
      <c r="C2244" s="9" t="str">
        <f>C2232</f>
        <v>Show</v>
      </c>
      <c r="D2244" s="23"/>
      <c r="E2244" s="13"/>
      <c r="F2244" s="70" t="s">
        <v>119</v>
      </c>
      <c r="G2244" s="12" t="s">
        <v>3439</v>
      </c>
    </row>
    <row r="2245" spans="2:8" ht="30" hidden="1" outlineLevel="1">
      <c r="B2245" s="76" t="s">
        <v>2553</v>
      </c>
      <c r="C2245" s="9" t="str">
        <f>C2232</f>
        <v>Show</v>
      </c>
      <c r="D2245" s="23"/>
      <c r="E2245" s="13"/>
      <c r="G2245" s="78" t="s">
        <v>121</v>
      </c>
      <c r="H2245" s="75" t="s">
        <v>2551</v>
      </c>
    </row>
    <row r="2246" spans="2:8" hidden="1" outlineLevel="1">
      <c r="B2246" s="76" t="s">
        <v>724</v>
      </c>
      <c r="C2246" s="9" t="str">
        <f>C2234</f>
        <v>Show</v>
      </c>
      <c r="D2246" s="23"/>
      <c r="E2246" s="13"/>
      <c r="F2246" s="70" t="str">
        <f>IF(C2245="Show","B.","A.")</f>
        <v>B.</v>
      </c>
      <c r="G2246" s="12" t="s">
        <v>3435</v>
      </c>
    </row>
    <row r="2247" spans="2:8" ht="30" hidden="1" outlineLevel="1">
      <c r="B2247" s="76" t="s">
        <v>724</v>
      </c>
      <c r="C2247" s="9" t="str">
        <f>C2234</f>
        <v>Show</v>
      </c>
      <c r="D2247" s="23"/>
      <c r="E2247" s="13"/>
      <c r="G2247" s="78" t="s">
        <v>121</v>
      </c>
      <c r="H2247" s="75" t="s">
        <v>2540</v>
      </c>
    </row>
    <row r="2248" spans="2:8" hidden="1" outlineLevel="1">
      <c r="B2248" s="12" t="s">
        <v>2554</v>
      </c>
      <c r="C2248" s="9" t="str">
        <f>C2226</f>
        <v>Show</v>
      </c>
    </row>
    <row r="2249" spans="2:8" collapsed="1">
      <c r="B2249" s="23"/>
      <c r="C2249" s="2" t="s">
        <v>116</v>
      </c>
      <c r="D2249" s="55" t="s">
        <v>1633</v>
      </c>
      <c r="E2249" s="55"/>
      <c r="F2249" s="57" t="s">
        <v>1611</v>
      </c>
      <c r="G2249" s="53"/>
      <c r="H2249" s="54"/>
    </row>
    <row r="2250" spans="2:8" hidden="1" outlineLevel="1">
      <c r="B2250" s="76"/>
      <c r="C2250" s="2" t="s">
        <v>116</v>
      </c>
      <c r="D2250" s="23" t="s">
        <v>117</v>
      </c>
      <c r="E2250" s="13"/>
      <c r="G2250" s="13"/>
    </row>
    <row r="2251" spans="2:8" hidden="1" outlineLevel="1">
      <c r="B2251" s="76"/>
      <c r="C2251" s="2" t="s">
        <v>116</v>
      </c>
      <c r="D2251" s="23"/>
      <c r="E2251" s="13">
        <v>1.1000000000000001</v>
      </c>
      <c r="F2251" s="11" t="s">
        <v>118</v>
      </c>
      <c r="G2251" s="13"/>
    </row>
    <row r="2252" spans="2:8" hidden="1" outlineLevel="1">
      <c r="B2252" s="76"/>
      <c r="C2252" s="2" t="s">
        <v>116</v>
      </c>
      <c r="D2252" s="23"/>
      <c r="E2252" s="13"/>
      <c r="F2252" s="70" t="s">
        <v>119</v>
      </c>
      <c r="G2252" s="18" t="s">
        <v>677</v>
      </c>
    </row>
    <row r="2253" spans="2:8" hidden="1" outlineLevel="1">
      <c r="B2253" s="76"/>
      <c r="C2253" s="2" t="s">
        <v>116</v>
      </c>
      <c r="D2253" s="23"/>
      <c r="E2253" s="13"/>
      <c r="F2253" s="70"/>
      <c r="G2253" s="78" t="s">
        <v>121</v>
      </c>
      <c r="H2253" s="79" t="s">
        <v>2301</v>
      </c>
    </row>
    <row r="2254" spans="2:8" hidden="1" outlineLevel="1">
      <c r="B2254" s="76"/>
      <c r="C2254" s="2" t="s">
        <v>116</v>
      </c>
      <c r="D2254" s="23"/>
      <c r="E2254" s="13">
        <v>1.2</v>
      </c>
      <c r="F2254" s="71" t="s">
        <v>131</v>
      </c>
      <c r="G2254" s="78"/>
    </row>
    <row r="2255" spans="2:8" hidden="1" outlineLevel="1">
      <c r="B2255" s="76"/>
      <c r="C2255" s="2" t="s">
        <v>116</v>
      </c>
      <c r="D2255" s="23"/>
      <c r="E2255" s="13"/>
      <c r="F2255" s="70" t="s">
        <v>119</v>
      </c>
      <c r="G2255" s="12" t="s">
        <v>3441</v>
      </c>
    </row>
    <row r="2256" spans="2:8" hidden="1" outlineLevel="1">
      <c r="B2256" s="76"/>
      <c r="C2256" s="2" t="s">
        <v>116</v>
      </c>
      <c r="D2256" s="23"/>
      <c r="E2256" s="13"/>
      <c r="F2256" s="70"/>
      <c r="G2256" s="78" t="s">
        <v>121</v>
      </c>
      <c r="H2256" s="75" t="s">
        <v>2529</v>
      </c>
    </row>
    <row r="2257" spans="2:8" hidden="1" outlineLevel="1">
      <c r="B2257" s="76"/>
      <c r="C2257" s="2" t="s">
        <v>116</v>
      </c>
      <c r="D2257" s="23" t="s">
        <v>613</v>
      </c>
      <c r="E2257" s="13"/>
      <c r="G2257" s="13"/>
    </row>
    <row r="2258" spans="2:8" hidden="1" outlineLevel="1">
      <c r="B2258" s="76"/>
      <c r="C2258" s="2" t="s">
        <v>116</v>
      </c>
      <c r="D2258" s="23"/>
      <c r="E2258" s="12" t="s">
        <v>2320</v>
      </c>
      <c r="G2258" s="13"/>
    </row>
    <row r="2259" spans="2:8" hidden="1" outlineLevel="1">
      <c r="B2259" s="76"/>
      <c r="C2259" s="2" t="s">
        <v>116</v>
      </c>
      <c r="D2259" s="23"/>
      <c r="E2259" s="12"/>
      <c r="F2259" s="11" t="s">
        <v>119</v>
      </c>
      <c r="G2259" s="12" t="s">
        <v>3441</v>
      </c>
    </row>
    <row r="2260" spans="2:8" hidden="1" outlineLevel="1">
      <c r="B2260" s="76"/>
      <c r="C2260" s="2" t="s">
        <v>116</v>
      </c>
      <c r="D2260" s="23"/>
      <c r="E2260" s="12"/>
      <c r="G2260" s="30" t="s">
        <v>121</v>
      </c>
      <c r="H2260" s="75" t="s">
        <v>2530</v>
      </c>
    </row>
    <row r="2261" spans="2:8" hidden="1" outlineLevel="1">
      <c r="B2261" s="76"/>
      <c r="C2261" s="2" t="s">
        <v>116</v>
      </c>
      <c r="D2261" s="23" t="s">
        <v>187</v>
      </c>
      <c r="E2261" s="13"/>
      <c r="G2261" s="13"/>
    </row>
    <row r="2262" spans="2:8" hidden="1" outlineLevel="1">
      <c r="B2262" s="76"/>
      <c r="C2262" s="2" t="s">
        <v>116</v>
      </c>
      <c r="D2262" s="23"/>
      <c r="E2262" s="12" t="s">
        <v>679</v>
      </c>
      <c r="G2262" s="13"/>
    </row>
    <row r="2263" spans="2:8" hidden="1" outlineLevel="1">
      <c r="B2263" s="76"/>
      <c r="C2263" s="2" t="s">
        <v>116</v>
      </c>
    </row>
    <row r="2264" spans="2:8" collapsed="1">
      <c r="B2264" s="12" t="s">
        <v>2344</v>
      </c>
      <c r="C2264" s="2" t="str">
        <f>IF((COUNTIF(C2270:C2273,"Show")+COUNTIF(C2276:C2279,"Show")+COUNTIF(C2282:C2283,"Show"))&gt;0,"Show","Hide")</f>
        <v>Show</v>
      </c>
      <c r="D2264" s="55" t="s">
        <v>253</v>
      </c>
      <c r="E2264" s="55"/>
      <c r="F2264" s="57" t="s">
        <v>254</v>
      </c>
      <c r="G2264" s="53"/>
      <c r="H2264" s="54"/>
    </row>
    <row r="2265" spans="2:8" hidden="1" outlineLevel="1">
      <c r="B2265" s="12" t="s">
        <v>2344</v>
      </c>
      <c r="C2265" s="9" t="str">
        <f>C2264</f>
        <v>Show</v>
      </c>
      <c r="D2265" s="23" t="s">
        <v>117</v>
      </c>
      <c r="E2265" s="13"/>
      <c r="G2265" s="13"/>
    </row>
    <row r="2266" spans="2:8" hidden="1" outlineLevel="1">
      <c r="B2266" s="12" t="s">
        <v>2344</v>
      </c>
      <c r="C2266" s="9" t="str">
        <f>C2264</f>
        <v>Show</v>
      </c>
      <c r="D2266" s="23"/>
      <c r="E2266" s="13">
        <v>1.1000000000000001</v>
      </c>
      <c r="F2266" s="11" t="s">
        <v>118</v>
      </c>
      <c r="G2266" s="13"/>
    </row>
    <row r="2267" spans="2:8" hidden="1" outlineLevel="1">
      <c r="B2267" s="12" t="s">
        <v>2344</v>
      </c>
      <c r="C2267" s="9" t="str">
        <f>C2264</f>
        <v>Show</v>
      </c>
      <c r="D2267" s="23"/>
      <c r="E2267" s="13"/>
      <c r="F2267" s="70" t="s">
        <v>119</v>
      </c>
      <c r="H2267" s="71" t="s">
        <v>677</v>
      </c>
    </row>
    <row r="2268" spans="2:8" hidden="1" outlineLevel="1">
      <c r="B2268" s="12" t="s">
        <v>2344</v>
      </c>
      <c r="C2268" s="9" t="str">
        <f>C2264</f>
        <v>Show</v>
      </c>
      <c r="D2268" s="23"/>
      <c r="E2268" s="13"/>
      <c r="F2268" s="70"/>
      <c r="G2268" s="78" t="s">
        <v>121</v>
      </c>
      <c r="H2268" s="79" t="s">
        <v>2301</v>
      </c>
    </row>
    <row r="2269" spans="2:8" hidden="1" outlineLevel="1">
      <c r="B2269" s="12" t="s">
        <v>2344</v>
      </c>
      <c r="C2269" s="9" t="str">
        <f>IF(COUNTIF(C2270:C2273,"Show")&gt;0,"Show","Hide")</f>
        <v>Show</v>
      </c>
      <c r="D2269" s="23"/>
      <c r="E2269" s="13">
        <v>1.2</v>
      </c>
      <c r="F2269" s="71" t="s">
        <v>131</v>
      </c>
      <c r="G2269" s="78"/>
    </row>
    <row r="2270" spans="2:8" hidden="1" outlineLevel="1">
      <c r="B2270" s="12" t="s">
        <v>2344</v>
      </c>
      <c r="C2270" s="9" t="str">
        <f>C735</f>
        <v>Show</v>
      </c>
      <c r="D2270" s="23"/>
      <c r="E2270" s="13"/>
      <c r="F2270" s="70" t="s">
        <v>119</v>
      </c>
      <c r="H2270" s="69" t="s">
        <v>3435</v>
      </c>
    </row>
    <row r="2271" spans="2:8" hidden="1" outlineLevel="1">
      <c r="B2271" s="12" t="s">
        <v>2344</v>
      </c>
      <c r="C2271" s="9" t="str">
        <f>C2270</f>
        <v>Show</v>
      </c>
      <c r="D2271" s="23"/>
      <c r="E2271" s="13"/>
      <c r="F2271" s="70"/>
      <c r="G2271" s="78" t="s">
        <v>121</v>
      </c>
      <c r="H2271" s="75" t="s">
        <v>2538</v>
      </c>
    </row>
    <row r="2272" spans="2:8" ht="30" hidden="1" outlineLevel="1">
      <c r="B2272" s="12" t="s">
        <v>2344</v>
      </c>
      <c r="C2272" s="9" t="str">
        <f>C937</f>
        <v>Show</v>
      </c>
      <c r="D2272" s="23"/>
      <c r="E2272" s="13"/>
      <c r="F2272" s="70" t="s">
        <v>125</v>
      </c>
      <c r="H2272" s="75" t="s">
        <v>3442</v>
      </c>
    </row>
    <row r="2273" spans="2:8" ht="30" hidden="1" outlineLevel="1">
      <c r="B2273" s="12" t="s">
        <v>2344</v>
      </c>
      <c r="C2273" s="9" t="str">
        <f>C2272</f>
        <v>Show</v>
      </c>
      <c r="D2273" s="23"/>
      <c r="E2273" s="13"/>
      <c r="F2273" s="70"/>
      <c r="G2273" s="78" t="s">
        <v>121</v>
      </c>
      <c r="H2273" s="75" t="s">
        <v>2545</v>
      </c>
    </row>
    <row r="2274" spans="2:8" hidden="1" outlineLevel="1">
      <c r="B2274" s="12" t="s">
        <v>2344</v>
      </c>
      <c r="C2274" s="9" t="str">
        <f>C2264</f>
        <v>Show</v>
      </c>
      <c r="D2274" s="23" t="s">
        <v>613</v>
      </c>
      <c r="E2274" s="13"/>
      <c r="G2274" s="13"/>
    </row>
    <row r="2275" spans="2:8" hidden="1" outlineLevel="1">
      <c r="B2275" s="12" t="s">
        <v>2344</v>
      </c>
      <c r="C2275" s="9" t="str">
        <f>C2264</f>
        <v>Show</v>
      </c>
      <c r="D2275" s="23"/>
      <c r="E2275" s="12" t="str">
        <f>IF(COUNTIF(C2276:C2279,"Show")&gt;0,"2.1 Product Requirements","No EGC requirements.")</f>
        <v>2.1 Product Requirements</v>
      </c>
      <c r="G2275" s="13"/>
    </row>
    <row r="2276" spans="2:8" hidden="1" outlineLevel="1">
      <c r="B2276" s="12" t="s">
        <v>2344</v>
      </c>
      <c r="C2276" s="9" t="str">
        <f>C1070</f>
        <v>Show</v>
      </c>
      <c r="D2276" s="23"/>
      <c r="E2276" s="12"/>
      <c r="F2276" s="70" t="s">
        <v>119</v>
      </c>
      <c r="H2276" s="69" t="s">
        <v>3435</v>
      </c>
    </row>
    <row r="2277" spans="2:8" hidden="1" outlineLevel="1">
      <c r="B2277" s="12" t="s">
        <v>2344</v>
      </c>
      <c r="C2277" s="9" t="str">
        <f>C2276</f>
        <v>Show</v>
      </c>
      <c r="D2277" s="23"/>
      <c r="E2277" s="12"/>
      <c r="F2277" s="70"/>
      <c r="G2277" s="30" t="s">
        <v>121</v>
      </c>
      <c r="H2277" s="75" t="s">
        <v>2539</v>
      </c>
    </row>
    <row r="2278" spans="2:8" hidden="1" outlineLevel="1">
      <c r="B2278" s="12" t="s">
        <v>2344</v>
      </c>
      <c r="C2278" s="9" t="str">
        <f>C1152</f>
        <v>Show</v>
      </c>
      <c r="D2278" s="23"/>
      <c r="E2278" s="12"/>
      <c r="F2278" s="70" t="s">
        <v>125</v>
      </c>
      <c r="G2278" s="12" t="s">
        <v>3431</v>
      </c>
    </row>
    <row r="2279" spans="2:8" hidden="1" outlineLevel="1">
      <c r="B2279" s="12" t="s">
        <v>2344</v>
      </c>
      <c r="C2279" s="9" t="str">
        <f>C2278</f>
        <v>Show</v>
      </c>
      <c r="D2279" s="23"/>
      <c r="E2279" s="12"/>
      <c r="G2279" s="30" t="s">
        <v>121</v>
      </c>
      <c r="H2279" s="75" t="s">
        <v>2408</v>
      </c>
    </row>
    <row r="2280" spans="2:8" hidden="1" outlineLevel="1">
      <c r="B2280" s="12" t="s">
        <v>2344</v>
      </c>
      <c r="C2280" s="9" t="str">
        <f>C2264</f>
        <v>Show</v>
      </c>
      <c r="D2280" s="23" t="s">
        <v>187</v>
      </c>
      <c r="E2280" s="13"/>
      <c r="G2280" s="13"/>
    </row>
    <row r="2281" spans="2:8" hidden="1" outlineLevel="1">
      <c r="B2281" s="12" t="s">
        <v>2344</v>
      </c>
      <c r="C2281" s="9" t="str">
        <f>C2264</f>
        <v>Show</v>
      </c>
      <c r="D2281" s="23"/>
      <c r="E2281" s="12" t="str">
        <f>IF(COUNTIF(C2282:C2283,"Show")&gt;0,"3.1 Execution Requirements","No EGC requirements.")</f>
        <v>3.1 Execution Requirements</v>
      </c>
      <c r="G2281" s="13"/>
    </row>
    <row r="2282" spans="2:8" ht="30" hidden="1" outlineLevel="1">
      <c r="B2282" s="12" t="s">
        <v>2344</v>
      </c>
      <c r="C2282" s="9" t="str">
        <f>C1654</f>
        <v>Show</v>
      </c>
      <c r="D2282" s="23"/>
      <c r="E2282" s="13"/>
      <c r="F2282" s="70" t="s">
        <v>119</v>
      </c>
      <c r="H2282" s="75" t="s">
        <v>3442</v>
      </c>
    </row>
    <row r="2283" spans="2:8" ht="30" hidden="1" outlineLevel="1">
      <c r="B2283" s="12" t="s">
        <v>2344</v>
      </c>
      <c r="C2283" s="9" t="str">
        <f>C2282</f>
        <v>Show</v>
      </c>
      <c r="D2283" s="23"/>
      <c r="E2283" s="13"/>
      <c r="G2283" s="78" t="s">
        <v>121</v>
      </c>
      <c r="H2283" s="75" t="s">
        <v>2660</v>
      </c>
    </row>
    <row r="2284" spans="2:8" hidden="1" outlineLevel="1">
      <c r="B2284" s="12" t="s">
        <v>2344</v>
      </c>
      <c r="C2284" s="9" t="str">
        <f>C2264</f>
        <v>Show</v>
      </c>
    </row>
    <row r="2285" spans="2:8" collapsed="1">
      <c r="B2285" s="12" t="s">
        <v>2697</v>
      </c>
      <c r="C2285" s="2" t="str">
        <f>IF((COUNTIF(C2291:C2296,"Show")+COUNTIF(C2299:C2306,"Show")+COUNTIF(C2309:C2316,"Show"))&gt;0,"Show","Hide")</f>
        <v>Show</v>
      </c>
      <c r="D2285" s="55" t="s">
        <v>1792</v>
      </c>
      <c r="E2285" s="55"/>
      <c r="F2285" s="57" t="s">
        <v>1791</v>
      </c>
      <c r="G2285" s="56"/>
      <c r="H2285" s="58"/>
    </row>
    <row r="2286" spans="2:8" hidden="1" outlineLevel="1">
      <c r="B2286" s="12" t="s">
        <v>2344</v>
      </c>
      <c r="C2286" s="9" t="str">
        <f>C2285</f>
        <v>Show</v>
      </c>
      <c r="D2286" s="23" t="s">
        <v>117</v>
      </c>
      <c r="E2286" s="13"/>
      <c r="G2286" s="13"/>
    </row>
    <row r="2287" spans="2:8" hidden="1" outlineLevel="1">
      <c r="B2287" s="12" t="s">
        <v>2344</v>
      </c>
      <c r="C2287" s="9" t="str">
        <f>C2285</f>
        <v>Show</v>
      </c>
      <c r="D2287" s="23"/>
      <c r="E2287" s="13">
        <v>1.1000000000000001</v>
      </c>
      <c r="F2287" s="11" t="s">
        <v>118</v>
      </c>
      <c r="G2287" s="13"/>
    </row>
    <row r="2288" spans="2:8" hidden="1" outlineLevel="1">
      <c r="B2288" s="12" t="s">
        <v>2344</v>
      </c>
      <c r="C2288" s="9" t="str">
        <f>C2285</f>
        <v>Show</v>
      </c>
      <c r="D2288" s="23"/>
      <c r="E2288" s="13"/>
      <c r="F2288" s="70" t="s">
        <v>119</v>
      </c>
      <c r="G2288" s="18" t="s">
        <v>677</v>
      </c>
    </row>
    <row r="2289" spans="2:8" hidden="1" outlineLevel="1">
      <c r="B2289" s="12" t="s">
        <v>2344</v>
      </c>
      <c r="C2289" s="9" t="str">
        <f>C2285</f>
        <v>Show</v>
      </c>
      <c r="D2289" s="23"/>
      <c r="E2289" s="13"/>
      <c r="F2289" s="70"/>
      <c r="G2289" s="78" t="s">
        <v>121</v>
      </c>
      <c r="H2289" s="79" t="s">
        <v>2301</v>
      </c>
    </row>
    <row r="2290" spans="2:8" hidden="1" outlineLevel="1">
      <c r="B2290" s="12" t="s">
        <v>2344</v>
      </c>
      <c r="C2290" s="9" t="str">
        <f>IF(COUNTIF(C2291:C2296,"Show")&gt;0,"Show","Hide")</f>
        <v>Show</v>
      </c>
      <c r="D2290" s="23"/>
      <c r="E2290" s="13">
        <v>1.2</v>
      </c>
      <c r="F2290" s="71" t="s">
        <v>131</v>
      </c>
      <c r="G2290" s="78"/>
    </row>
    <row r="2291" spans="2:8" hidden="1" outlineLevel="1">
      <c r="B2291" s="12" t="s">
        <v>2344</v>
      </c>
      <c r="C2291" s="9" t="str">
        <f>C682</f>
        <v>Show</v>
      </c>
      <c r="D2291" s="23"/>
      <c r="E2291" s="13"/>
      <c r="F2291" s="70" t="s">
        <v>119</v>
      </c>
      <c r="G2291" s="12" t="s">
        <v>3443</v>
      </c>
    </row>
    <row r="2292" spans="2:8" hidden="1" outlineLevel="1">
      <c r="B2292" s="12" t="s">
        <v>2344</v>
      </c>
      <c r="C2292" s="9" t="str">
        <f>C2291</f>
        <v>Show</v>
      </c>
      <c r="D2292" s="23"/>
      <c r="E2292" s="13"/>
      <c r="F2292" s="70"/>
      <c r="G2292" s="78" t="s">
        <v>121</v>
      </c>
      <c r="H2292" s="75" t="s">
        <v>2546</v>
      </c>
    </row>
    <row r="2293" spans="2:8" hidden="1" outlineLevel="1">
      <c r="B2293" s="12" t="s">
        <v>2344</v>
      </c>
      <c r="C2293" s="9" t="str">
        <f>C713</f>
        <v>Show</v>
      </c>
      <c r="D2293" s="23"/>
      <c r="E2293" s="13"/>
      <c r="F2293" s="70" t="s">
        <v>125</v>
      </c>
      <c r="G2293" s="12" t="s">
        <v>3439</v>
      </c>
    </row>
    <row r="2294" spans="2:8" hidden="1" outlineLevel="1">
      <c r="B2294" s="12" t="s">
        <v>2344</v>
      </c>
      <c r="C2294" s="9" t="str">
        <f>C2293</f>
        <v>Show</v>
      </c>
      <c r="D2294" s="23"/>
      <c r="E2294" s="13"/>
      <c r="F2294" s="70"/>
      <c r="G2294" s="78" t="s">
        <v>121</v>
      </c>
      <c r="H2294" s="75" t="s">
        <v>2547</v>
      </c>
    </row>
    <row r="2295" spans="2:8" hidden="1" outlineLevel="1">
      <c r="B2295" s="12" t="s">
        <v>2344</v>
      </c>
      <c r="C2295" s="9" t="str">
        <f>C840</f>
        <v>Show</v>
      </c>
      <c r="D2295" s="23"/>
      <c r="E2295" s="13"/>
      <c r="F2295" s="70" t="s">
        <v>158</v>
      </c>
      <c r="G2295" s="12" t="s">
        <v>3407</v>
      </c>
    </row>
    <row r="2296" spans="2:8" ht="30" hidden="1" outlineLevel="1">
      <c r="B2296" s="12" t="s">
        <v>2344</v>
      </c>
      <c r="C2296" s="9" t="str">
        <f>C2295</f>
        <v>Show</v>
      </c>
      <c r="D2296" s="23"/>
      <c r="E2296" s="13"/>
      <c r="F2296" s="70"/>
      <c r="G2296" s="78" t="s">
        <v>121</v>
      </c>
      <c r="H2296" s="75" t="s">
        <v>2664</v>
      </c>
    </row>
    <row r="2297" spans="2:8" hidden="1" outlineLevel="1">
      <c r="B2297" s="12" t="s">
        <v>2344</v>
      </c>
      <c r="C2297" s="9" t="str">
        <f>C2285</f>
        <v>Show</v>
      </c>
      <c r="D2297" s="23" t="s">
        <v>613</v>
      </c>
      <c r="E2297" s="13"/>
      <c r="G2297" s="13"/>
    </row>
    <row r="2298" spans="2:8" hidden="1" outlineLevel="1">
      <c r="B2298" s="12" t="s">
        <v>2344</v>
      </c>
      <c r="C2298" s="9" t="str">
        <f>C2285</f>
        <v>Show</v>
      </c>
      <c r="D2298" s="23"/>
      <c r="E2298" s="12" t="str">
        <f>IF(COUNTIF(C2299:C2306,"Show")&gt;0,"2.1 Product Requirements","No EGC requirements.")</f>
        <v>2.1 Product Requirements</v>
      </c>
      <c r="G2298" s="13"/>
    </row>
    <row r="2299" spans="2:8" hidden="1" outlineLevel="1">
      <c r="B2299" s="12" t="s">
        <v>2344</v>
      </c>
      <c r="C2299" s="9" t="str">
        <f>C1007</f>
        <v>Show</v>
      </c>
      <c r="D2299" s="23"/>
      <c r="E2299" s="12"/>
      <c r="F2299" s="70" t="s">
        <v>119</v>
      </c>
      <c r="G2299" s="12" t="s">
        <v>3443</v>
      </c>
    </row>
    <row r="2300" spans="2:8" hidden="1" outlineLevel="1">
      <c r="B2300" s="12" t="s">
        <v>2344</v>
      </c>
      <c r="C2300" s="9" t="str">
        <f>C2299</f>
        <v>Show</v>
      </c>
      <c r="D2300" s="23"/>
      <c r="E2300" s="12"/>
      <c r="F2300" s="70"/>
      <c r="G2300" s="30" t="s">
        <v>121</v>
      </c>
      <c r="H2300" s="75" t="s">
        <v>2548</v>
      </c>
    </row>
    <row r="2301" spans="2:8" hidden="1" outlineLevel="1">
      <c r="B2301" s="12" t="s">
        <v>2344</v>
      </c>
      <c r="C2301" s="9" t="str">
        <f>C1048</f>
        <v>Show</v>
      </c>
      <c r="D2301" s="23"/>
      <c r="E2301" s="12"/>
      <c r="F2301" s="70" t="s">
        <v>125</v>
      </c>
      <c r="G2301" s="12" t="s">
        <v>3439</v>
      </c>
    </row>
    <row r="2302" spans="2:8" hidden="1" outlineLevel="1">
      <c r="B2302" s="12" t="s">
        <v>2344</v>
      </c>
      <c r="C2302" s="9" t="str">
        <f>C2301</f>
        <v>Show</v>
      </c>
      <c r="D2302" s="23"/>
      <c r="E2302" s="12"/>
      <c r="F2302" s="70"/>
      <c r="G2302" s="30" t="s">
        <v>121</v>
      </c>
      <c r="H2302" s="75" t="s">
        <v>2549</v>
      </c>
    </row>
    <row r="2303" spans="2:8" hidden="1" outlineLevel="1">
      <c r="B2303" s="12" t="s">
        <v>2344</v>
      </c>
      <c r="C2303" s="9" t="str">
        <f>C1151</f>
        <v>Show</v>
      </c>
      <c r="D2303" s="23"/>
      <c r="E2303" s="12"/>
      <c r="F2303" s="70" t="s">
        <v>158</v>
      </c>
      <c r="G2303" s="12" t="s">
        <v>3431</v>
      </c>
    </row>
    <row r="2304" spans="2:8" hidden="1" outlineLevel="1">
      <c r="B2304" s="12" t="s">
        <v>2344</v>
      </c>
      <c r="C2304" s="9" t="str">
        <f>C2303</f>
        <v>Show</v>
      </c>
      <c r="D2304" s="23"/>
      <c r="E2304" s="12"/>
      <c r="F2304" s="70"/>
      <c r="G2304" s="30" t="s">
        <v>121</v>
      </c>
      <c r="H2304" s="75" t="s">
        <v>2408</v>
      </c>
    </row>
    <row r="2305" spans="2:8" hidden="1" outlineLevel="1">
      <c r="B2305" s="12" t="s">
        <v>2344</v>
      </c>
      <c r="C2305" s="9" t="str">
        <f>C1153</f>
        <v>Show</v>
      </c>
      <c r="D2305" s="23"/>
      <c r="E2305" s="12"/>
      <c r="F2305" s="70" t="s">
        <v>159</v>
      </c>
      <c r="G2305" s="69" t="s">
        <v>3407</v>
      </c>
    </row>
    <row r="2306" spans="2:8" hidden="1" outlineLevel="1">
      <c r="B2306" s="12" t="s">
        <v>2344</v>
      </c>
      <c r="C2306" s="9" t="str">
        <f>C2305</f>
        <v>Show</v>
      </c>
      <c r="D2306" s="23"/>
      <c r="E2306" s="12"/>
      <c r="F2306" s="70"/>
      <c r="G2306" s="30" t="s">
        <v>121</v>
      </c>
      <c r="H2306" s="75" t="s">
        <v>2662</v>
      </c>
    </row>
    <row r="2307" spans="2:8" hidden="1" outlineLevel="1">
      <c r="B2307" s="12" t="s">
        <v>2344</v>
      </c>
      <c r="C2307" s="9" t="str">
        <f>C2285</f>
        <v>Show</v>
      </c>
      <c r="D2307" s="23" t="s">
        <v>187</v>
      </c>
      <c r="E2307" s="13"/>
      <c r="G2307" s="13"/>
    </row>
    <row r="2308" spans="2:8" hidden="1" outlineLevel="1">
      <c r="B2308" s="12" t="s">
        <v>2344</v>
      </c>
      <c r="C2308" s="9" t="str">
        <f>C2285</f>
        <v>Show</v>
      </c>
      <c r="D2308" s="23"/>
      <c r="E2308" s="12" t="str">
        <f>IF(COUNTIF(C2309:C2316,"Show")&gt;0,"3.1 Execution Requirements","No EGC requirements.")</f>
        <v>3.1 Execution Requirements</v>
      </c>
      <c r="G2308" s="13"/>
    </row>
    <row r="2309" spans="2:8" hidden="1" outlineLevel="1">
      <c r="B2309" s="12" t="s">
        <v>2344</v>
      </c>
      <c r="C2309" s="9" t="str">
        <f>C1338</f>
        <v>Show</v>
      </c>
      <c r="D2309" s="23"/>
      <c r="E2309" s="13"/>
      <c r="F2309" s="70" t="s">
        <v>119</v>
      </c>
      <c r="G2309" s="12" t="s">
        <v>3443</v>
      </c>
    </row>
    <row r="2310" spans="2:8" hidden="1" outlineLevel="1">
      <c r="B2310" s="12" t="s">
        <v>2344</v>
      </c>
      <c r="C2310" s="9" t="str">
        <f>C2309</f>
        <v>Show</v>
      </c>
      <c r="D2310" s="23"/>
      <c r="E2310" s="13"/>
      <c r="F2310" s="70"/>
      <c r="G2310" s="78" t="s">
        <v>121</v>
      </c>
      <c r="H2310" s="75" t="s">
        <v>2550</v>
      </c>
    </row>
    <row r="2311" spans="2:8" hidden="1" outlineLevel="1">
      <c r="B2311" s="12" t="s">
        <v>2344</v>
      </c>
      <c r="C2311" s="9" t="str">
        <f>C1404</f>
        <v>Show</v>
      </c>
      <c r="D2311" s="23"/>
      <c r="E2311" s="13"/>
      <c r="F2311" s="70" t="s">
        <v>125</v>
      </c>
      <c r="G2311" s="12" t="s">
        <v>3439</v>
      </c>
    </row>
    <row r="2312" spans="2:8" ht="30" hidden="1" outlineLevel="1">
      <c r="B2312" s="12" t="s">
        <v>2344</v>
      </c>
      <c r="C2312" s="9" t="str">
        <f>C2311</f>
        <v>Show</v>
      </c>
      <c r="D2312" s="23"/>
      <c r="E2312" s="13"/>
      <c r="F2312" s="70"/>
      <c r="G2312" s="78" t="s">
        <v>121</v>
      </c>
      <c r="H2312" s="75" t="s">
        <v>2551</v>
      </c>
    </row>
    <row r="2313" spans="2:8" hidden="1" outlineLevel="1">
      <c r="B2313" s="12" t="s">
        <v>2344</v>
      </c>
      <c r="C2313" s="9" t="str">
        <f>C1535</f>
        <v>Show</v>
      </c>
      <c r="D2313" s="23"/>
      <c r="E2313" s="13"/>
      <c r="F2313" s="70" t="s">
        <v>158</v>
      </c>
      <c r="G2313" s="12" t="s">
        <v>3407</v>
      </c>
    </row>
    <row r="2314" spans="2:8" ht="30" hidden="1" outlineLevel="1">
      <c r="B2314" s="12" t="s">
        <v>2344</v>
      </c>
      <c r="C2314" s="9" t="str">
        <f>C2313</f>
        <v>Show</v>
      </c>
      <c r="D2314" s="23"/>
      <c r="E2314" s="13"/>
      <c r="F2314" s="70"/>
      <c r="G2314" s="78" t="s">
        <v>121</v>
      </c>
      <c r="H2314" s="75" t="s">
        <v>2663</v>
      </c>
    </row>
    <row r="2315" spans="2:8" ht="30" hidden="1" outlineLevel="1">
      <c r="B2315" s="12" t="s">
        <v>2344</v>
      </c>
      <c r="C2315" s="9" t="str">
        <f>C1645</f>
        <v>Show</v>
      </c>
      <c r="D2315" s="23"/>
      <c r="E2315" s="13"/>
      <c r="F2315" s="70" t="s">
        <v>159</v>
      </c>
      <c r="H2315" s="75" t="s">
        <v>3444</v>
      </c>
    </row>
    <row r="2316" spans="2:8" ht="45" hidden="1" outlineLevel="1">
      <c r="B2316" s="12" t="s">
        <v>2344</v>
      </c>
      <c r="C2316" s="9" t="str">
        <f>C2315</f>
        <v>Show</v>
      </c>
      <c r="D2316" s="23"/>
      <c r="E2316" s="13"/>
      <c r="G2316" s="78" t="s">
        <v>121</v>
      </c>
      <c r="H2316" s="75" t="s">
        <v>2941</v>
      </c>
    </row>
    <row r="2317" spans="2:8" hidden="1" outlineLevel="1">
      <c r="B2317" s="12" t="s">
        <v>2344</v>
      </c>
      <c r="C2317" s="9" t="str">
        <f>C2285</f>
        <v>Show</v>
      </c>
    </row>
    <row r="2318" spans="2:8" collapsed="1">
      <c r="B2318" s="12" t="s">
        <v>2697</v>
      </c>
      <c r="C2318" s="2" t="str">
        <f>C2319</f>
        <v>Show</v>
      </c>
      <c r="D2318" s="55" t="s">
        <v>1634</v>
      </c>
      <c r="E2318" s="55"/>
      <c r="F2318" s="57" t="s">
        <v>1612</v>
      </c>
      <c r="G2318" s="35"/>
      <c r="H2318" s="54"/>
    </row>
    <row r="2319" spans="2:8" hidden="1" outlineLevel="1">
      <c r="B2319" s="12" t="s">
        <v>2697</v>
      </c>
      <c r="C2319" s="2" t="str">
        <f>IF((COUNTIF(C2323:C2325,"Show")+COUNTIF(C2328:C2329,"Show")+COUNTIF(C2332:C2333,"Show"))&gt;0,"Show","Hide")</f>
        <v>Show</v>
      </c>
      <c r="D2319" s="23" t="s">
        <v>117</v>
      </c>
      <c r="E2319" s="13"/>
      <c r="G2319" s="13"/>
    </row>
    <row r="2320" spans="2:8" hidden="1" outlineLevel="1">
      <c r="B2320" s="12" t="s">
        <v>2697</v>
      </c>
      <c r="C2320" s="9" t="str">
        <f>C2319</f>
        <v>Show</v>
      </c>
      <c r="D2320" s="23"/>
      <c r="E2320" s="13">
        <v>1.1000000000000001</v>
      </c>
      <c r="F2320" s="11" t="s">
        <v>118</v>
      </c>
      <c r="G2320" s="13"/>
    </row>
    <row r="2321" spans="2:8" hidden="1" outlineLevel="1">
      <c r="B2321" s="12" t="s">
        <v>2697</v>
      </c>
      <c r="C2321" s="9" t="str">
        <f>C2320</f>
        <v>Show</v>
      </c>
      <c r="D2321" s="23"/>
      <c r="E2321" s="13"/>
      <c r="F2321" s="70" t="s">
        <v>119</v>
      </c>
      <c r="G2321" s="18" t="s">
        <v>677</v>
      </c>
    </row>
    <row r="2322" spans="2:8" hidden="1" outlineLevel="1">
      <c r="B2322" s="12" t="s">
        <v>2697</v>
      </c>
      <c r="C2322" s="9" t="str">
        <f>C2321</f>
        <v>Show</v>
      </c>
      <c r="D2322" s="23"/>
      <c r="E2322" s="13"/>
      <c r="F2322" s="70"/>
      <c r="G2322" s="78" t="s">
        <v>121</v>
      </c>
      <c r="H2322" s="79" t="s">
        <v>2301</v>
      </c>
    </row>
    <row r="2323" spans="2:8" hidden="1" outlineLevel="1">
      <c r="B2323" s="12" t="s">
        <v>2697</v>
      </c>
      <c r="C2323" s="9" t="str">
        <f>C2324</f>
        <v>Show</v>
      </c>
      <c r="D2323" s="23"/>
      <c r="E2323" s="13">
        <v>1.2</v>
      </c>
      <c r="F2323" s="71" t="s">
        <v>131</v>
      </c>
      <c r="G2323" s="78"/>
    </row>
    <row r="2324" spans="2:8" hidden="1" outlineLevel="1">
      <c r="B2324" s="12" t="s">
        <v>2697</v>
      </c>
      <c r="C2324" s="9" t="str">
        <f>C682</f>
        <v>Show</v>
      </c>
      <c r="D2324" s="23"/>
      <c r="E2324" s="13"/>
      <c r="F2324" s="70" t="s">
        <v>119</v>
      </c>
      <c r="G2324" s="12" t="s">
        <v>3443</v>
      </c>
    </row>
    <row r="2325" spans="2:8" hidden="1" outlineLevel="1">
      <c r="B2325" s="12" t="s">
        <v>2697</v>
      </c>
      <c r="C2325" s="9" t="str">
        <f>C2324</f>
        <v>Show</v>
      </c>
      <c r="D2325" s="23"/>
      <c r="E2325" s="13"/>
      <c r="F2325" s="70"/>
      <c r="G2325" s="78" t="s">
        <v>121</v>
      </c>
      <c r="H2325" s="75" t="s">
        <v>2546</v>
      </c>
    </row>
    <row r="2326" spans="2:8" hidden="1" outlineLevel="1">
      <c r="B2326" s="12" t="s">
        <v>2697</v>
      </c>
      <c r="C2326" s="9" t="str">
        <f>C2319</f>
        <v>Show</v>
      </c>
      <c r="D2326" s="23" t="s">
        <v>613</v>
      </c>
      <c r="E2326" s="13"/>
      <c r="G2326" s="13"/>
    </row>
    <row r="2327" spans="2:8" hidden="1" outlineLevel="1">
      <c r="B2327" s="12" t="s">
        <v>2697</v>
      </c>
      <c r="C2327" s="9" t="str">
        <f>C2319</f>
        <v>Show</v>
      </c>
      <c r="D2327" s="23"/>
      <c r="E2327" s="12" t="str">
        <f>IF(COUNTIF(C2328:C2329,"Show")&gt;0,"2.1 Product Requirements","No EGC Requirements")</f>
        <v>2.1 Product Requirements</v>
      </c>
      <c r="G2327" s="13"/>
    </row>
    <row r="2328" spans="2:8" hidden="1" outlineLevel="1">
      <c r="B2328" s="12" t="s">
        <v>2697</v>
      </c>
      <c r="C2328" s="9" t="str">
        <f>C1007</f>
        <v>Show</v>
      </c>
      <c r="D2328" s="23"/>
      <c r="E2328" s="12"/>
      <c r="F2328" s="11" t="s">
        <v>119</v>
      </c>
      <c r="G2328" s="12" t="s">
        <v>3443</v>
      </c>
    </row>
    <row r="2329" spans="2:8" hidden="1" outlineLevel="1">
      <c r="B2329" s="12" t="s">
        <v>2697</v>
      </c>
      <c r="C2329" s="9" t="str">
        <f>C2328</f>
        <v>Show</v>
      </c>
      <c r="D2329" s="23"/>
      <c r="E2329" s="12"/>
      <c r="G2329" s="30" t="s">
        <v>121</v>
      </c>
      <c r="H2329" s="75" t="s">
        <v>2548</v>
      </c>
    </row>
    <row r="2330" spans="2:8" hidden="1" outlineLevel="1">
      <c r="B2330" s="12" t="s">
        <v>2697</v>
      </c>
      <c r="C2330" s="9" t="str">
        <f>C2319</f>
        <v>Show</v>
      </c>
      <c r="D2330" s="23" t="s">
        <v>187</v>
      </c>
      <c r="E2330" s="13"/>
      <c r="G2330" s="13"/>
    </row>
    <row r="2331" spans="2:8" hidden="1" outlineLevel="1">
      <c r="B2331" s="12" t="s">
        <v>2697</v>
      </c>
      <c r="C2331" s="9" t="str">
        <f>C2319</f>
        <v>Show</v>
      </c>
      <c r="D2331" s="23"/>
      <c r="E2331" s="12" t="str">
        <f>IF(COUNTIF(C2332:C2333,"Show")&gt;0,"3.1 Execution Requirements","No EGC Requirements")</f>
        <v>3.1 Execution Requirements</v>
      </c>
      <c r="G2331" s="13"/>
    </row>
    <row r="2332" spans="2:8" hidden="1" outlineLevel="1">
      <c r="B2332" s="12" t="s">
        <v>2697</v>
      </c>
      <c r="C2332" s="9" t="str">
        <f>C1338</f>
        <v>Show</v>
      </c>
      <c r="D2332" s="23"/>
      <c r="E2332" s="13"/>
      <c r="F2332" s="70" t="s">
        <v>119</v>
      </c>
      <c r="G2332" s="12" t="s">
        <v>3443</v>
      </c>
    </row>
    <row r="2333" spans="2:8" hidden="1" outlineLevel="1">
      <c r="B2333" s="12" t="s">
        <v>2697</v>
      </c>
      <c r="C2333" s="9" t="str">
        <f>C2332</f>
        <v>Show</v>
      </c>
      <c r="D2333" s="23"/>
      <c r="E2333" s="13"/>
      <c r="G2333" s="78" t="s">
        <v>121</v>
      </c>
      <c r="H2333" s="75" t="s">
        <v>2696</v>
      </c>
    </row>
    <row r="2334" spans="2:8" hidden="1" outlineLevel="1">
      <c r="B2334" s="12" t="s">
        <v>2697</v>
      </c>
      <c r="C2334" s="9" t="str">
        <f>C2319</f>
        <v>Show</v>
      </c>
    </row>
    <row r="2335" spans="2:8" collapsed="1">
      <c r="B2335" s="12" t="s">
        <v>2697</v>
      </c>
      <c r="C2335" s="2" t="str">
        <f>C2336</f>
        <v>Show</v>
      </c>
      <c r="D2335" s="55" t="s">
        <v>255</v>
      </c>
      <c r="E2335" s="55"/>
      <c r="F2335" s="57" t="s">
        <v>256</v>
      </c>
      <c r="G2335" s="35"/>
      <c r="H2335" s="54"/>
    </row>
    <row r="2336" spans="2:8" hidden="1" outlineLevel="1">
      <c r="B2336" s="12" t="s">
        <v>2697</v>
      </c>
      <c r="C2336" s="2" t="str">
        <f>IF((COUNTIF(C2340:C2344,"Show")+COUNTIF(C2347:C2348,"Show")+COUNTIF(C2355:C2356,"Show"))&gt;0,"Show","Hide")</f>
        <v>Show</v>
      </c>
      <c r="D2336" s="23" t="s">
        <v>117</v>
      </c>
      <c r="E2336" s="13"/>
      <c r="G2336" s="13"/>
    </row>
    <row r="2337" spans="2:8" hidden="1" outlineLevel="1">
      <c r="B2337" s="12" t="s">
        <v>2697</v>
      </c>
      <c r="C2337" s="9" t="str">
        <f>C2336</f>
        <v>Show</v>
      </c>
      <c r="D2337" s="23"/>
      <c r="E2337" s="13">
        <v>1.1000000000000001</v>
      </c>
      <c r="F2337" s="11" t="s">
        <v>118</v>
      </c>
      <c r="G2337" s="13"/>
    </row>
    <row r="2338" spans="2:8" hidden="1" outlineLevel="1">
      <c r="B2338" s="12" t="s">
        <v>2697</v>
      </c>
      <c r="C2338" s="9" t="str">
        <f>C2337</f>
        <v>Show</v>
      </c>
      <c r="D2338" s="23"/>
      <c r="E2338" s="13"/>
      <c r="F2338" s="70" t="s">
        <v>119</v>
      </c>
      <c r="G2338" s="18" t="s">
        <v>677</v>
      </c>
    </row>
    <row r="2339" spans="2:8" hidden="1" outlineLevel="1">
      <c r="B2339" s="12" t="s">
        <v>2697</v>
      </c>
      <c r="C2339" s="9" t="str">
        <f>C2338</f>
        <v>Show</v>
      </c>
      <c r="D2339" s="23"/>
      <c r="E2339" s="13"/>
      <c r="F2339" s="70"/>
      <c r="G2339" s="78" t="s">
        <v>121</v>
      </c>
      <c r="H2339" s="79" t="s">
        <v>2301</v>
      </c>
    </row>
    <row r="2340" spans="2:8" hidden="1" outlineLevel="1">
      <c r="B2340" s="12" t="s">
        <v>2697</v>
      </c>
      <c r="C2340" s="9" t="str">
        <f>IF(COUNTIF(C2341:C2344,"Show")&gt;0,"Show","Hide")</f>
        <v>Show</v>
      </c>
      <c r="D2340" s="23"/>
      <c r="E2340" s="13">
        <v>1.2</v>
      </c>
      <c r="F2340" s="71" t="s">
        <v>131</v>
      </c>
      <c r="G2340" s="78"/>
    </row>
    <row r="2341" spans="2:8" hidden="1" outlineLevel="1">
      <c r="B2341" s="12" t="s">
        <v>2697</v>
      </c>
      <c r="C2341" s="9" t="str">
        <f>C682</f>
        <v>Show</v>
      </c>
      <c r="D2341" s="23"/>
      <c r="E2341" s="13"/>
      <c r="F2341" s="70" t="s">
        <v>119</v>
      </c>
      <c r="G2341" s="12" t="s">
        <v>3443</v>
      </c>
    </row>
    <row r="2342" spans="2:8" hidden="1" outlineLevel="1">
      <c r="B2342" s="12" t="s">
        <v>2697</v>
      </c>
      <c r="C2342" s="9" t="str">
        <f>C2341</f>
        <v>Show</v>
      </c>
      <c r="D2342" s="23"/>
      <c r="E2342" s="13"/>
      <c r="F2342" s="70"/>
      <c r="G2342" s="78" t="s">
        <v>121</v>
      </c>
      <c r="H2342" s="75" t="s">
        <v>2546</v>
      </c>
    </row>
    <row r="2343" spans="2:8" hidden="1" outlineLevel="1">
      <c r="B2343" s="12" t="s">
        <v>2697</v>
      </c>
      <c r="C2343" s="9" t="str">
        <f>C727</f>
        <v>Show</v>
      </c>
      <c r="D2343" s="23"/>
      <c r="E2343" s="13"/>
      <c r="F2343" s="70" t="str">
        <f>IF(C2341="Show","B.","A.")</f>
        <v>B.</v>
      </c>
      <c r="G2343" s="12" t="s">
        <v>3435</v>
      </c>
    </row>
    <row r="2344" spans="2:8" hidden="1" outlineLevel="1">
      <c r="B2344" s="12" t="s">
        <v>2697</v>
      </c>
      <c r="C2344" s="9" t="str">
        <f>C2343</f>
        <v>Show</v>
      </c>
      <c r="D2344" s="23"/>
      <c r="E2344" s="13"/>
      <c r="F2344" s="70"/>
      <c r="G2344" s="78" t="s">
        <v>121</v>
      </c>
      <c r="H2344" s="75" t="s">
        <v>2538</v>
      </c>
    </row>
    <row r="2345" spans="2:8" hidden="1" outlineLevel="1">
      <c r="B2345" s="12" t="s">
        <v>2697</v>
      </c>
      <c r="C2345" s="9" t="str">
        <f>C2336</f>
        <v>Show</v>
      </c>
      <c r="D2345" s="23" t="s">
        <v>613</v>
      </c>
      <c r="E2345" s="13"/>
      <c r="G2345" s="13"/>
    </row>
    <row r="2346" spans="2:8" hidden="1" outlineLevel="1">
      <c r="B2346" s="12" t="s">
        <v>2697</v>
      </c>
      <c r="C2346" s="9" t="str">
        <f>C2336</f>
        <v>Show</v>
      </c>
      <c r="D2346" s="23"/>
      <c r="E2346" s="12" t="str">
        <f>IF(COUNTIF(C2347:C2352,"Show")&gt;0,"2.1 Product Requirements","No EGC Requirements")</f>
        <v>2.1 Product Requirements</v>
      </c>
      <c r="G2346" s="13"/>
    </row>
    <row r="2347" spans="2:8" hidden="1" outlineLevel="1">
      <c r="B2347" s="12" t="s">
        <v>2697</v>
      </c>
      <c r="C2347" s="9" t="str">
        <f>C1007</f>
        <v>Show</v>
      </c>
      <c r="D2347" s="23"/>
      <c r="E2347" s="12"/>
      <c r="F2347" s="70" t="s">
        <v>119</v>
      </c>
      <c r="G2347" s="12" t="s">
        <v>3443</v>
      </c>
    </row>
    <row r="2348" spans="2:8" hidden="1" outlineLevel="1">
      <c r="B2348" s="12" t="s">
        <v>2697</v>
      </c>
      <c r="C2348" s="9" t="str">
        <f>C2347</f>
        <v>Show</v>
      </c>
      <c r="D2348" s="23"/>
      <c r="E2348" s="12"/>
      <c r="G2348" s="30" t="s">
        <v>121</v>
      </c>
      <c r="H2348" s="75" t="s">
        <v>2548</v>
      </c>
    </row>
    <row r="2349" spans="2:8" hidden="1" outlineLevel="1">
      <c r="B2349" s="12" t="s">
        <v>2697</v>
      </c>
      <c r="C2349" s="9" t="str">
        <f>C1062</f>
        <v>Show</v>
      </c>
      <c r="D2349" s="23"/>
      <c r="E2349" s="12"/>
      <c r="F2349" s="70" t="str">
        <f>IF(C2347="Show","B.","A.")</f>
        <v>B.</v>
      </c>
      <c r="G2349" s="12" t="s">
        <v>3435</v>
      </c>
    </row>
    <row r="2350" spans="2:8" hidden="1" outlineLevel="1">
      <c r="B2350" s="12" t="s">
        <v>2697</v>
      </c>
      <c r="C2350" s="9" t="str">
        <f>C2349</f>
        <v>Show</v>
      </c>
      <c r="D2350" s="23"/>
      <c r="E2350" s="12"/>
      <c r="F2350" s="70"/>
      <c r="G2350" s="30" t="s">
        <v>121</v>
      </c>
      <c r="H2350" s="75" t="s">
        <v>2539</v>
      </c>
    </row>
    <row r="2351" spans="2:8" hidden="1" outlineLevel="1">
      <c r="B2351" s="12" t="s">
        <v>2697</v>
      </c>
      <c r="C2351" s="9" t="str">
        <f>C1151</f>
        <v>Show</v>
      </c>
      <c r="D2351" s="23"/>
      <c r="E2351" s="12"/>
      <c r="F2351" s="70" t="str">
        <f>IF(AND(C2347="Show",C2349="Show"),"C.",IF(OR(C2347="Show",C2349="Show"),"B.","A."))</f>
        <v>C.</v>
      </c>
      <c r="G2351" s="12" t="s">
        <v>3431</v>
      </c>
    </row>
    <row r="2352" spans="2:8" hidden="1" outlineLevel="1">
      <c r="B2352" s="12" t="s">
        <v>2697</v>
      </c>
      <c r="C2352" s="9" t="str">
        <f>C2351</f>
        <v>Show</v>
      </c>
      <c r="D2352" s="23"/>
      <c r="E2352" s="12"/>
      <c r="G2352" s="30" t="s">
        <v>121</v>
      </c>
      <c r="H2352" s="75" t="s">
        <v>2408</v>
      </c>
    </row>
    <row r="2353" spans="2:8" hidden="1" outlineLevel="1">
      <c r="B2353" s="12" t="s">
        <v>2697</v>
      </c>
      <c r="C2353" s="9" t="str">
        <f>C2336</f>
        <v>Show</v>
      </c>
      <c r="D2353" s="23" t="s">
        <v>187</v>
      </c>
      <c r="E2353" s="13"/>
      <c r="G2353" s="13"/>
    </row>
    <row r="2354" spans="2:8" hidden="1" outlineLevel="1">
      <c r="B2354" s="12" t="s">
        <v>2697</v>
      </c>
      <c r="C2354" s="9" t="str">
        <f>C2336</f>
        <v>Show</v>
      </c>
      <c r="D2354" s="23"/>
      <c r="E2354" s="12" t="str">
        <f>IF(COUNTIF(C2355:C2358,"Show")&gt;0,"3.1 Execution Requirements","No EGC Requirements")</f>
        <v>3.1 Execution Requirements</v>
      </c>
      <c r="G2354" s="13"/>
    </row>
    <row r="2355" spans="2:8" hidden="1" outlineLevel="1">
      <c r="B2355" s="12" t="s">
        <v>2697</v>
      </c>
      <c r="C2355" s="9" t="str">
        <f>C1338</f>
        <v>Show</v>
      </c>
      <c r="D2355" s="23"/>
      <c r="E2355" s="13"/>
      <c r="F2355" s="70" t="s">
        <v>119</v>
      </c>
      <c r="G2355" s="12" t="s">
        <v>3443</v>
      </c>
    </row>
    <row r="2356" spans="2:8" hidden="1" outlineLevel="1">
      <c r="B2356" s="12" t="s">
        <v>2697</v>
      </c>
      <c r="C2356" s="9" t="str">
        <f>C2355</f>
        <v>Show</v>
      </c>
      <c r="D2356" s="23"/>
      <c r="E2356" s="13"/>
      <c r="G2356" s="78" t="s">
        <v>121</v>
      </c>
      <c r="H2356" s="75" t="s">
        <v>2550</v>
      </c>
    </row>
    <row r="2357" spans="2:8" hidden="1" outlineLevel="1">
      <c r="B2357" s="12" t="s">
        <v>2697</v>
      </c>
      <c r="C2357" s="9" t="str">
        <f>C1424</f>
        <v>Show</v>
      </c>
      <c r="D2357" s="23"/>
      <c r="E2357" s="13"/>
      <c r="F2357" s="70" t="str">
        <f>IF(C2355="Show","B.","A.")</f>
        <v>B.</v>
      </c>
      <c r="G2357" s="12" t="s">
        <v>3435</v>
      </c>
    </row>
    <row r="2358" spans="2:8" ht="30" hidden="1" outlineLevel="1">
      <c r="B2358" s="12" t="s">
        <v>2697</v>
      </c>
      <c r="C2358" s="9" t="str">
        <f>C2357</f>
        <v>Show</v>
      </c>
      <c r="D2358" s="23"/>
      <c r="E2358" s="13"/>
      <c r="G2358" s="78" t="s">
        <v>121</v>
      </c>
      <c r="H2358" s="75" t="s">
        <v>2540</v>
      </c>
    </row>
    <row r="2359" spans="2:8" hidden="1" outlineLevel="1">
      <c r="B2359" s="12" t="s">
        <v>2697</v>
      </c>
      <c r="C2359" s="9" t="str">
        <f>C2336</f>
        <v>Show</v>
      </c>
    </row>
    <row r="2360" spans="2:8" collapsed="1">
      <c r="B2360" s="12" t="s">
        <v>2697</v>
      </c>
      <c r="C2360" s="2" t="str">
        <f>C2361</f>
        <v>Show</v>
      </c>
      <c r="D2360" s="55" t="s">
        <v>257</v>
      </c>
      <c r="E2360" s="55"/>
      <c r="F2360" s="57" t="s">
        <v>258</v>
      </c>
      <c r="G2360" s="56"/>
      <c r="H2360" s="58"/>
    </row>
    <row r="2361" spans="2:8" hidden="1" outlineLevel="1">
      <c r="B2361" s="12" t="s">
        <v>2697</v>
      </c>
      <c r="C2361" s="2" t="str">
        <f>IF((COUNTIF(C2365:C2369,"Show")+COUNTIF(C2372:C2373,"Show")+COUNTIF(C2380:C2381,"Show"))&gt;0,"Show","Hide")</f>
        <v>Show</v>
      </c>
      <c r="D2361" s="23" t="s">
        <v>117</v>
      </c>
      <c r="E2361" s="13"/>
      <c r="G2361" s="13"/>
    </row>
    <row r="2362" spans="2:8" hidden="1" outlineLevel="1">
      <c r="B2362" s="12" t="s">
        <v>2697</v>
      </c>
      <c r="C2362" s="9" t="str">
        <f>C2361</f>
        <v>Show</v>
      </c>
      <c r="D2362" s="23"/>
      <c r="E2362" s="13">
        <v>1.1000000000000001</v>
      </c>
      <c r="F2362" s="11" t="s">
        <v>118</v>
      </c>
      <c r="G2362" s="13"/>
    </row>
    <row r="2363" spans="2:8" hidden="1" outlineLevel="1">
      <c r="B2363" s="12" t="s">
        <v>2697</v>
      </c>
      <c r="C2363" s="9" t="str">
        <f>C2362</f>
        <v>Show</v>
      </c>
      <c r="D2363" s="23"/>
      <c r="E2363" s="13"/>
      <c r="F2363" s="70" t="s">
        <v>119</v>
      </c>
      <c r="G2363" s="18" t="s">
        <v>677</v>
      </c>
    </row>
    <row r="2364" spans="2:8" hidden="1" outlineLevel="1">
      <c r="B2364" s="12" t="s">
        <v>2697</v>
      </c>
      <c r="C2364" s="9" t="str">
        <f>C2363</f>
        <v>Show</v>
      </c>
      <c r="D2364" s="23"/>
      <c r="E2364" s="13"/>
      <c r="F2364" s="70"/>
      <c r="G2364" s="78" t="s">
        <v>121</v>
      </c>
      <c r="H2364" s="79" t="s">
        <v>2301</v>
      </c>
    </row>
    <row r="2365" spans="2:8" hidden="1" outlineLevel="1">
      <c r="B2365" s="12" t="s">
        <v>2697</v>
      </c>
      <c r="C2365" s="9" t="str">
        <f>IF(COUNTIF(C2366:C2369,"Show")&gt;0,"Show","Hide")</f>
        <v>Show</v>
      </c>
      <c r="D2365" s="23"/>
      <c r="E2365" s="13">
        <v>1.2</v>
      </c>
      <c r="F2365" s="71" t="s">
        <v>131</v>
      </c>
      <c r="G2365" s="78"/>
    </row>
    <row r="2366" spans="2:8" hidden="1" outlineLevel="1">
      <c r="B2366" s="12" t="s">
        <v>2697</v>
      </c>
      <c r="C2366" s="9" t="str">
        <f>C682</f>
        <v>Show</v>
      </c>
      <c r="D2366" s="23"/>
      <c r="E2366" s="13"/>
      <c r="F2366" s="70" t="s">
        <v>119</v>
      </c>
      <c r="G2366" s="12" t="s">
        <v>3443</v>
      </c>
    </row>
    <row r="2367" spans="2:8" hidden="1" outlineLevel="1">
      <c r="B2367" s="12" t="s">
        <v>2697</v>
      </c>
      <c r="C2367" s="9" t="str">
        <f>C2366</f>
        <v>Show</v>
      </c>
      <c r="D2367" s="23"/>
      <c r="E2367" s="13"/>
      <c r="F2367" s="70"/>
      <c r="G2367" s="78" t="s">
        <v>121</v>
      </c>
      <c r="H2367" s="75" t="s">
        <v>2546</v>
      </c>
    </row>
    <row r="2368" spans="2:8" hidden="1" outlineLevel="1">
      <c r="B2368" s="12" t="s">
        <v>2697</v>
      </c>
      <c r="C2368" s="9" t="str">
        <f>C713</f>
        <v>Show</v>
      </c>
      <c r="D2368" s="23"/>
      <c r="E2368" s="13"/>
      <c r="F2368" s="70" t="str">
        <f>IF(C2366="Show","B.","A.")</f>
        <v>B.</v>
      </c>
      <c r="G2368" s="12" t="s">
        <v>3439</v>
      </c>
    </row>
    <row r="2369" spans="2:8" hidden="1" outlineLevel="1">
      <c r="B2369" s="12" t="s">
        <v>2697</v>
      </c>
      <c r="C2369" s="9" t="str">
        <f>C2368</f>
        <v>Show</v>
      </c>
      <c r="D2369" s="23"/>
      <c r="E2369" s="13"/>
      <c r="F2369" s="70"/>
      <c r="G2369" s="78" t="s">
        <v>121</v>
      </c>
      <c r="H2369" s="75" t="s">
        <v>2547</v>
      </c>
    </row>
    <row r="2370" spans="2:8" hidden="1" outlineLevel="1">
      <c r="B2370" s="12" t="s">
        <v>2697</v>
      </c>
      <c r="C2370" s="9" t="str">
        <f>C2361</f>
        <v>Show</v>
      </c>
      <c r="D2370" s="23" t="s">
        <v>613</v>
      </c>
      <c r="E2370" s="13"/>
      <c r="G2370" s="13"/>
    </row>
    <row r="2371" spans="2:8" hidden="1" outlineLevel="1">
      <c r="B2371" s="12" t="s">
        <v>2697</v>
      </c>
      <c r="C2371" s="9" t="str">
        <f>C2361</f>
        <v>Show</v>
      </c>
      <c r="D2371" s="23"/>
      <c r="E2371" s="12" t="str">
        <f>IF(COUNTIF(C2372:C2377,"Show")&gt;0,"2.1 Product Requirements","No EGC Requirements")</f>
        <v>2.1 Product Requirements</v>
      </c>
      <c r="G2371" s="13"/>
    </row>
    <row r="2372" spans="2:8" hidden="1" outlineLevel="1">
      <c r="B2372" s="12" t="s">
        <v>2697</v>
      </c>
      <c r="C2372" s="9" t="str">
        <f>C1007</f>
        <v>Show</v>
      </c>
      <c r="D2372" s="23"/>
      <c r="E2372" s="12"/>
      <c r="F2372" s="70" t="s">
        <v>119</v>
      </c>
      <c r="G2372" s="12" t="s">
        <v>3443</v>
      </c>
    </row>
    <row r="2373" spans="2:8" hidden="1" outlineLevel="1">
      <c r="B2373" s="12" t="s">
        <v>2697</v>
      </c>
      <c r="C2373" s="9" t="str">
        <f>C2372</f>
        <v>Show</v>
      </c>
      <c r="D2373" s="23"/>
      <c r="E2373" s="12"/>
      <c r="G2373" s="30" t="s">
        <v>121</v>
      </c>
      <c r="H2373" s="75" t="s">
        <v>2548</v>
      </c>
    </row>
    <row r="2374" spans="2:8" hidden="1" outlineLevel="1">
      <c r="B2374" s="12" t="s">
        <v>2697</v>
      </c>
      <c r="C2374" s="9" t="str">
        <f>C1048</f>
        <v>Show</v>
      </c>
      <c r="D2374" s="23"/>
      <c r="E2374" s="12"/>
      <c r="F2374" s="70" t="str">
        <f>IF(C2372="Show","B.","A.")</f>
        <v>B.</v>
      </c>
      <c r="G2374" s="12" t="s">
        <v>3439</v>
      </c>
    </row>
    <row r="2375" spans="2:8" hidden="1" outlineLevel="1">
      <c r="B2375" s="12" t="s">
        <v>2697</v>
      </c>
      <c r="C2375" s="9" t="str">
        <f>C2374</f>
        <v>Show</v>
      </c>
      <c r="D2375" s="23"/>
      <c r="E2375" s="12"/>
      <c r="F2375" s="70"/>
      <c r="G2375" s="30" t="s">
        <v>121</v>
      </c>
      <c r="H2375" s="75" t="s">
        <v>2549</v>
      </c>
    </row>
    <row r="2376" spans="2:8" hidden="1" outlineLevel="1">
      <c r="B2376" s="12" t="s">
        <v>2697</v>
      </c>
      <c r="C2376" s="9" t="str">
        <f>C1151</f>
        <v>Show</v>
      </c>
      <c r="D2376" s="23"/>
      <c r="E2376" s="12"/>
      <c r="F2376" s="70" t="str">
        <f>IF(AND(C2372="Show",C2374="Show"),"C.",IF(OR(C2372="Show",C2374="Show"),"B.","A."))</f>
        <v>C.</v>
      </c>
      <c r="G2376" s="12" t="s">
        <v>3431</v>
      </c>
    </row>
    <row r="2377" spans="2:8" hidden="1" outlineLevel="1">
      <c r="B2377" s="12" t="s">
        <v>2697</v>
      </c>
      <c r="C2377" s="9" t="str">
        <f>C2376</f>
        <v>Show</v>
      </c>
      <c r="D2377" s="23"/>
      <c r="E2377" s="12"/>
      <c r="G2377" s="30" t="s">
        <v>121</v>
      </c>
      <c r="H2377" s="75" t="s">
        <v>2408</v>
      </c>
    </row>
    <row r="2378" spans="2:8" hidden="1" outlineLevel="1">
      <c r="B2378" s="12" t="s">
        <v>2697</v>
      </c>
      <c r="C2378" s="9" t="str">
        <f>C2361</f>
        <v>Show</v>
      </c>
      <c r="D2378" s="23" t="s">
        <v>187</v>
      </c>
      <c r="E2378" s="13"/>
      <c r="G2378" s="13"/>
    </row>
    <row r="2379" spans="2:8" hidden="1" outlineLevel="1">
      <c r="B2379" s="12" t="s">
        <v>2697</v>
      </c>
      <c r="C2379" s="9" t="str">
        <f>C2361</f>
        <v>Show</v>
      </c>
      <c r="D2379" s="23"/>
      <c r="E2379" s="12" t="str">
        <f>IF(COUNTIF(C2380:C2383,"Show")&gt;0,"3.1 Execution Requirements","No EGC Requirements")</f>
        <v>3.1 Execution Requirements</v>
      </c>
      <c r="G2379" s="13"/>
    </row>
    <row r="2380" spans="2:8" hidden="1" outlineLevel="1">
      <c r="B2380" s="12" t="s">
        <v>2697</v>
      </c>
      <c r="C2380" s="9" t="str">
        <f>C1338</f>
        <v>Show</v>
      </c>
      <c r="D2380" s="23"/>
      <c r="E2380" s="13"/>
      <c r="F2380" s="70" t="s">
        <v>119</v>
      </c>
      <c r="G2380" s="12" t="s">
        <v>3443</v>
      </c>
    </row>
    <row r="2381" spans="2:8" hidden="1" outlineLevel="1">
      <c r="B2381" s="12" t="s">
        <v>2697</v>
      </c>
      <c r="C2381" s="9" t="str">
        <f>C2380</f>
        <v>Show</v>
      </c>
      <c r="D2381" s="23"/>
      <c r="E2381" s="13"/>
      <c r="G2381" s="78" t="s">
        <v>121</v>
      </c>
      <c r="H2381" s="75" t="s">
        <v>2550</v>
      </c>
    </row>
    <row r="2382" spans="2:8" hidden="1" outlineLevel="1">
      <c r="B2382" s="12" t="s">
        <v>2697</v>
      </c>
      <c r="C2382" s="9" t="str">
        <f>C1404</f>
        <v>Show</v>
      </c>
      <c r="D2382" s="23"/>
      <c r="E2382" s="13"/>
      <c r="F2382" s="70" t="str">
        <f>IF(C2380="Show","B.","A.")</f>
        <v>B.</v>
      </c>
      <c r="G2382" s="12" t="s">
        <v>3439</v>
      </c>
    </row>
    <row r="2383" spans="2:8" ht="30" hidden="1" outlineLevel="1">
      <c r="B2383" s="12" t="s">
        <v>2697</v>
      </c>
      <c r="C2383" s="9" t="str">
        <f>C2382</f>
        <v>Show</v>
      </c>
      <c r="D2383" s="23"/>
      <c r="E2383" s="13"/>
      <c r="G2383" s="78" t="s">
        <v>121</v>
      </c>
      <c r="H2383" s="75" t="s">
        <v>2551</v>
      </c>
    </row>
    <row r="2384" spans="2:8" hidden="1" outlineLevel="1">
      <c r="B2384" s="12" t="s">
        <v>2697</v>
      </c>
      <c r="C2384" s="9" t="str">
        <f>C2361</f>
        <v>Show</v>
      </c>
    </row>
    <row r="2385" spans="2:8" collapsed="1">
      <c r="B2385" s="12" t="s">
        <v>2697</v>
      </c>
      <c r="C2385" s="2" t="str">
        <f>C2386</f>
        <v>Show</v>
      </c>
      <c r="D2385" s="55" t="s">
        <v>1635</v>
      </c>
      <c r="E2385" s="55"/>
      <c r="F2385" s="57" t="s">
        <v>1613</v>
      </c>
      <c r="G2385" s="35"/>
      <c r="H2385" s="54"/>
    </row>
    <row r="2386" spans="2:8" hidden="1" outlineLevel="1">
      <c r="B2386" s="12" t="s">
        <v>2697</v>
      </c>
      <c r="C2386" s="2" t="str">
        <f>IF((COUNTIF(C2390:C2392,"Show")+COUNTIF(C2395:C2396,"Show")+COUNTIF(C2399:C2400,"Show"))&gt;0,"Show","Hide")</f>
        <v>Show</v>
      </c>
      <c r="D2386" s="23" t="s">
        <v>117</v>
      </c>
      <c r="E2386" s="13"/>
      <c r="G2386" s="13"/>
    </row>
    <row r="2387" spans="2:8" hidden="1" outlineLevel="1">
      <c r="B2387" s="12" t="s">
        <v>2697</v>
      </c>
      <c r="C2387" s="9" t="str">
        <f>C2386</f>
        <v>Show</v>
      </c>
      <c r="D2387" s="23"/>
      <c r="E2387" s="13">
        <v>1.1000000000000001</v>
      </c>
      <c r="F2387" s="11" t="s">
        <v>118</v>
      </c>
      <c r="G2387" s="13"/>
    </row>
    <row r="2388" spans="2:8" hidden="1" outlineLevel="1">
      <c r="B2388" s="12" t="s">
        <v>2697</v>
      </c>
      <c r="C2388" s="9" t="str">
        <f>C2387</f>
        <v>Show</v>
      </c>
      <c r="D2388" s="23"/>
      <c r="E2388" s="13"/>
      <c r="F2388" s="70" t="s">
        <v>119</v>
      </c>
      <c r="G2388" s="18" t="s">
        <v>677</v>
      </c>
    </row>
    <row r="2389" spans="2:8" hidden="1" outlineLevel="1">
      <c r="B2389" s="12" t="s">
        <v>2697</v>
      </c>
      <c r="C2389" s="9" t="str">
        <f>C2388</f>
        <v>Show</v>
      </c>
      <c r="D2389" s="23"/>
      <c r="E2389" s="13"/>
      <c r="F2389" s="70"/>
      <c r="G2389" s="78" t="s">
        <v>121</v>
      </c>
      <c r="H2389" s="79" t="s">
        <v>2301</v>
      </c>
    </row>
    <row r="2390" spans="2:8" hidden="1" outlineLevel="1">
      <c r="B2390" s="12" t="s">
        <v>2697</v>
      </c>
      <c r="C2390" s="9" t="str">
        <f>IF(COUNTIF(C2391:C2392,"Show")&gt;0,"Show","Hide")</f>
        <v>Show</v>
      </c>
      <c r="D2390" s="23"/>
      <c r="E2390" s="13">
        <v>1.2</v>
      </c>
      <c r="F2390" s="71" t="s">
        <v>131</v>
      </c>
      <c r="G2390" s="78"/>
    </row>
    <row r="2391" spans="2:8" hidden="1" outlineLevel="1">
      <c r="B2391" s="12" t="s">
        <v>2697</v>
      </c>
      <c r="C2391" s="9" t="str">
        <f>C682</f>
        <v>Show</v>
      </c>
      <c r="D2391" s="23"/>
      <c r="E2391" s="13"/>
      <c r="F2391" s="70" t="s">
        <v>119</v>
      </c>
      <c r="G2391" s="12" t="s">
        <v>3443</v>
      </c>
    </row>
    <row r="2392" spans="2:8" hidden="1" outlineLevel="1">
      <c r="B2392" s="12" t="s">
        <v>2697</v>
      </c>
      <c r="C2392" s="9" t="str">
        <f>C2391</f>
        <v>Show</v>
      </c>
      <c r="D2392" s="23"/>
      <c r="E2392" s="13"/>
      <c r="F2392" s="70"/>
      <c r="G2392" s="78" t="s">
        <v>121</v>
      </c>
      <c r="H2392" s="75" t="s">
        <v>2546</v>
      </c>
    </row>
    <row r="2393" spans="2:8" hidden="1" outlineLevel="1">
      <c r="B2393" s="12" t="s">
        <v>2697</v>
      </c>
      <c r="C2393" s="9" t="str">
        <f>C2386</f>
        <v>Show</v>
      </c>
      <c r="D2393" s="23" t="s">
        <v>613</v>
      </c>
      <c r="E2393" s="13"/>
      <c r="G2393" s="13"/>
    </row>
    <row r="2394" spans="2:8" hidden="1" outlineLevel="1">
      <c r="B2394" s="12" t="s">
        <v>2697</v>
      </c>
      <c r="C2394" s="9" t="str">
        <f>C2386</f>
        <v>Show</v>
      </c>
      <c r="D2394" s="23"/>
      <c r="E2394" s="12" t="str">
        <f>IF(COUNTIF(C2395:C2396,"Show")&gt;0,"2.1 Product Requirements","No EGC Requirements")</f>
        <v>2.1 Product Requirements</v>
      </c>
      <c r="G2394" s="13"/>
    </row>
    <row r="2395" spans="2:8" hidden="1" outlineLevel="1">
      <c r="B2395" s="12" t="s">
        <v>2697</v>
      </c>
      <c r="C2395" s="9" t="str">
        <f>C1007</f>
        <v>Show</v>
      </c>
      <c r="D2395" s="23"/>
      <c r="E2395" s="12"/>
      <c r="F2395" s="11" t="s">
        <v>119</v>
      </c>
      <c r="G2395" s="12" t="s">
        <v>3443</v>
      </c>
    </row>
    <row r="2396" spans="2:8" hidden="1" outlineLevel="1">
      <c r="B2396" s="12" t="s">
        <v>2697</v>
      </c>
      <c r="C2396" s="9" t="str">
        <f>C2395</f>
        <v>Show</v>
      </c>
      <c r="D2396" s="23"/>
      <c r="E2396" s="12"/>
      <c r="G2396" s="30" t="s">
        <v>121</v>
      </c>
      <c r="H2396" s="75" t="s">
        <v>2548</v>
      </c>
    </row>
    <row r="2397" spans="2:8" hidden="1" outlineLevel="1">
      <c r="B2397" s="12" t="s">
        <v>2697</v>
      </c>
      <c r="C2397" s="9" t="str">
        <f>C2386</f>
        <v>Show</v>
      </c>
      <c r="D2397" s="23" t="s">
        <v>187</v>
      </c>
      <c r="E2397" s="13"/>
      <c r="G2397" s="13"/>
    </row>
    <row r="2398" spans="2:8" hidden="1" outlineLevel="1">
      <c r="B2398" s="12" t="s">
        <v>2697</v>
      </c>
      <c r="C2398" s="9" t="str">
        <f>C2386</f>
        <v>Show</v>
      </c>
      <c r="D2398" s="23"/>
      <c r="E2398" s="12" t="str">
        <f>IF(COUNTIF(C2399:C2400,"Show")&gt;0,"3.1 Execution Requirements","No EGC Requirements")</f>
        <v>3.1 Execution Requirements</v>
      </c>
      <c r="G2398" s="13"/>
    </row>
    <row r="2399" spans="2:8" hidden="1" outlineLevel="1">
      <c r="B2399" s="12" t="s">
        <v>2697</v>
      </c>
      <c r="C2399" s="9" t="str">
        <f>C1338</f>
        <v>Show</v>
      </c>
      <c r="D2399" s="23"/>
      <c r="E2399" s="13"/>
      <c r="F2399" s="70" t="s">
        <v>119</v>
      </c>
      <c r="G2399" s="12" t="s">
        <v>3443</v>
      </c>
    </row>
    <row r="2400" spans="2:8" hidden="1" outlineLevel="1">
      <c r="B2400" s="12" t="s">
        <v>2697</v>
      </c>
      <c r="C2400" s="9" t="str">
        <f>C2399</f>
        <v>Show</v>
      </c>
      <c r="D2400" s="23"/>
      <c r="E2400" s="13"/>
      <c r="G2400" s="78" t="s">
        <v>121</v>
      </c>
      <c r="H2400" s="75" t="s">
        <v>2550</v>
      </c>
    </row>
    <row r="2401" spans="2:8" hidden="1" outlineLevel="1">
      <c r="B2401" s="12" t="s">
        <v>2697</v>
      </c>
      <c r="C2401" s="9" t="str">
        <f>C2386</f>
        <v>Show</v>
      </c>
    </row>
    <row r="2402" spans="2:8" collapsed="1">
      <c r="B2402" s="12" t="s">
        <v>2697</v>
      </c>
      <c r="C2402" s="2" t="str">
        <f>C2403</f>
        <v>Show</v>
      </c>
      <c r="D2402" s="55" t="s">
        <v>259</v>
      </c>
      <c r="E2402" s="55"/>
      <c r="F2402" s="57" t="s">
        <v>260</v>
      </c>
      <c r="G2402" s="35"/>
      <c r="H2402" s="54"/>
    </row>
    <row r="2403" spans="2:8" hidden="1" outlineLevel="1">
      <c r="B2403" s="12" t="s">
        <v>2697</v>
      </c>
      <c r="C2403" s="2" t="str">
        <f>IF((COUNTIF(C2407:C2409,"Show")+COUNTIF(C2412:C2413,"Show")+COUNTIF(C2416:C2417,"Show"))&gt;0,"Show","Hide")</f>
        <v>Show</v>
      </c>
      <c r="D2403" s="23" t="s">
        <v>117</v>
      </c>
      <c r="E2403" s="13"/>
      <c r="G2403" s="13"/>
    </row>
    <row r="2404" spans="2:8" hidden="1" outlineLevel="1">
      <c r="B2404" s="12" t="s">
        <v>2697</v>
      </c>
      <c r="C2404" s="9" t="str">
        <f>C2403</f>
        <v>Show</v>
      </c>
      <c r="D2404" s="23"/>
      <c r="E2404" s="13">
        <v>1.1000000000000001</v>
      </c>
      <c r="F2404" s="11" t="s">
        <v>118</v>
      </c>
      <c r="G2404" s="13"/>
    </row>
    <row r="2405" spans="2:8" hidden="1" outlineLevel="1">
      <c r="B2405" s="12" t="s">
        <v>2697</v>
      </c>
      <c r="C2405" s="9" t="str">
        <f>C2404</f>
        <v>Show</v>
      </c>
      <c r="D2405" s="23"/>
      <c r="E2405" s="13"/>
      <c r="F2405" s="70" t="s">
        <v>119</v>
      </c>
      <c r="G2405" s="18" t="s">
        <v>677</v>
      </c>
    </row>
    <row r="2406" spans="2:8" hidden="1" outlineLevel="1">
      <c r="B2406" s="12" t="s">
        <v>2697</v>
      </c>
      <c r="C2406" s="9" t="str">
        <f>C2405</f>
        <v>Show</v>
      </c>
      <c r="D2406" s="23"/>
      <c r="E2406" s="13"/>
      <c r="F2406" s="70"/>
      <c r="G2406" s="78" t="s">
        <v>121</v>
      </c>
      <c r="H2406" s="79" t="s">
        <v>2301</v>
      </c>
    </row>
    <row r="2407" spans="2:8" hidden="1" outlineLevel="1">
      <c r="B2407" s="12" t="s">
        <v>2697</v>
      </c>
      <c r="C2407" s="9" t="str">
        <f>IF(COUNTIF(C2408:C2409,"Show")&gt;0,"Show","Hide")</f>
        <v>Show</v>
      </c>
      <c r="D2407" s="23"/>
      <c r="E2407" s="13">
        <v>1.2</v>
      </c>
      <c r="F2407" s="71" t="s">
        <v>131</v>
      </c>
      <c r="G2407" s="78"/>
    </row>
    <row r="2408" spans="2:8" hidden="1" outlineLevel="1">
      <c r="B2408" s="12" t="s">
        <v>2697</v>
      </c>
      <c r="C2408" s="9" t="str">
        <f>C682</f>
        <v>Show</v>
      </c>
      <c r="D2408" s="23"/>
      <c r="E2408" s="13"/>
      <c r="F2408" s="70" t="s">
        <v>119</v>
      </c>
      <c r="G2408" s="12" t="s">
        <v>3443</v>
      </c>
    </row>
    <row r="2409" spans="2:8" hidden="1" outlineLevel="1">
      <c r="B2409" s="12" t="s">
        <v>2697</v>
      </c>
      <c r="C2409" s="9" t="str">
        <f>C2408</f>
        <v>Show</v>
      </c>
      <c r="D2409" s="23"/>
      <c r="E2409" s="13"/>
      <c r="F2409" s="70"/>
      <c r="G2409" s="78" t="s">
        <v>121</v>
      </c>
      <c r="H2409" s="75" t="s">
        <v>2546</v>
      </c>
    </row>
    <row r="2410" spans="2:8" hidden="1" outlineLevel="1">
      <c r="B2410" s="12" t="s">
        <v>2697</v>
      </c>
      <c r="C2410" s="9" t="str">
        <f>C2403</f>
        <v>Show</v>
      </c>
      <c r="D2410" s="23" t="s">
        <v>613</v>
      </c>
      <c r="E2410" s="13"/>
      <c r="G2410" s="13"/>
    </row>
    <row r="2411" spans="2:8" hidden="1" outlineLevel="1">
      <c r="B2411" s="12" t="s">
        <v>2697</v>
      </c>
      <c r="C2411" s="9" t="str">
        <f>C2403</f>
        <v>Show</v>
      </c>
      <c r="D2411" s="23"/>
      <c r="E2411" s="12" t="str">
        <f>IF(COUNTIF(C2412:C2413,"Show")&gt;0,"2.1 Product Requirements","No EGC Requirements")</f>
        <v>2.1 Product Requirements</v>
      </c>
      <c r="G2411" s="13"/>
    </row>
    <row r="2412" spans="2:8" hidden="1" outlineLevel="1">
      <c r="B2412" s="12" t="s">
        <v>2697</v>
      </c>
      <c r="C2412" s="9" t="str">
        <f>C1007</f>
        <v>Show</v>
      </c>
      <c r="D2412" s="23"/>
      <c r="E2412" s="12"/>
      <c r="F2412" s="11" t="s">
        <v>119</v>
      </c>
      <c r="G2412" s="12" t="s">
        <v>3443</v>
      </c>
    </row>
    <row r="2413" spans="2:8" hidden="1" outlineLevel="1">
      <c r="B2413" s="12" t="s">
        <v>2697</v>
      </c>
      <c r="C2413" s="9" t="str">
        <f>C2412</f>
        <v>Show</v>
      </c>
      <c r="D2413" s="23"/>
      <c r="E2413" s="12"/>
      <c r="G2413" s="30" t="s">
        <v>121</v>
      </c>
      <c r="H2413" s="75" t="s">
        <v>2548</v>
      </c>
    </row>
    <row r="2414" spans="2:8" hidden="1" outlineLevel="1">
      <c r="B2414" s="12" t="s">
        <v>2697</v>
      </c>
      <c r="C2414" s="9" t="str">
        <f>C2403</f>
        <v>Show</v>
      </c>
      <c r="D2414" s="23" t="s">
        <v>187</v>
      </c>
      <c r="E2414" s="13"/>
      <c r="G2414" s="13"/>
    </row>
    <row r="2415" spans="2:8" hidden="1" outlineLevel="1">
      <c r="B2415" s="12" t="s">
        <v>2697</v>
      </c>
      <c r="C2415" s="9" t="str">
        <f>C2403</f>
        <v>Show</v>
      </c>
      <c r="D2415" s="23"/>
      <c r="E2415" s="12" t="str">
        <f>IF(COUNTIF(C2416:C2417,"Show")&gt;0,"3.1 Execution Requirements","No EGC Requirements")</f>
        <v>3.1 Execution Requirements</v>
      </c>
      <c r="G2415" s="13"/>
    </row>
    <row r="2416" spans="2:8" hidden="1" outlineLevel="1">
      <c r="B2416" s="12" t="s">
        <v>2697</v>
      </c>
      <c r="C2416" s="9" t="str">
        <f>C1338</f>
        <v>Show</v>
      </c>
      <c r="D2416" s="23"/>
      <c r="E2416" s="13"/>
      <c r="F2416" s="70" t="s">
        <v>119</v>
      </c>
      <c r="G2416" s="12" t="s">
        <v>3443</v>
      </c>
    </row>
    <row r="2417" spans="2:8" hidden="1" outlineLevel="1">
      <c r="B2417" s="12" t="s">
        <v>2697</v>
      </c>
      <c r="C2417" s="9" t="str">
        <f>C2416</f>
        <v>Show</v>
      </c>
      <c r="D2417" s="23"/>
      <c r="E2417" s="13"/>
      <c r="G2417" s="78" t="s">
        <v>121</v>
      </c>
      <c r="H2417" s="75" t="s">
        <v>2550</v>
      </c>
    </row>
    <row r="2418" spans="2:8" hidden="1" outlineLevel="1">
      <c r="B2418" s="12" t="s">
        <v>2697</v>
      </c>
      <c r="C2418" s="9" t="str">
        <f>C2403</f>
        <v>Show</v>
      </c>
    </row>
    <row r="2419" spans="2:8" collapsed="1">
      <c r="B2419" s="12" t="s">
        <v>2697</v>
      </c>
      <c r="C2419" s="2" t="str">
        <f>C2420</f>
        <v>Show</v>
      </c>
      <c r="D2419" s="55" t="s">
        <v>261</v>
      </c>
      <c r="E2419" s="55"/>
      <c r="F2419" s="57" t="s">
        <v>262</v>
      </c>
      <c r="G2419" s="35"/>
      <c r="H2419" s="54"/>
    </row>
    <row r="2420" spans="2:8" hidden="1" outlineLevel="1">
      <c r="B2420" s="12" t="s">
        <v>2697</v>
      </c>
      <c r="C2420" s="2" t="str">
        <f>IF((COUNTIF(C2424:C2428,"Show")+COUNTIF(C2431:C2436,"Show")+COUNTIF(C2439:C2440,"Show"))&gt;0,"Show","Hide")</f>
        <v>Show</v>
      </c>
      <c r="D2420" s="23" t="s">
        <v>117</v>
      </c>
      <c r="E2420" s="13"/>
      <c r="G2420" s="13"/>
    </row>
    <row r="2421" spans="2:8" hidden="1" outlineLevel="1">
      <c r="B2421" s="12" t="s">
        <v>2697</v>
      </c>
      <c r="C2421" s="9" t="str">
        <f>C2420</f>
        <v>Show</v>
      </c>
      <c r="D2421" s="23"/>
      <c r="E2421" s="13">
        <v>1.1000000000000001</v>
      </c>
      <c r="F2421" s="11" t="s">
        <v>118</v>
      </c>
      <c r="G2421" s="13"/>
    </row>
    <row r="2422" spans="2:8" hidden="1" outlineLevel="1">
      <c r="B2422" s="12" t="s">
        <v>2697</v>
      </c>
      <c r="C2422" s="9" t="str">
        <f>C2421</f>
        <v>Show</v>
      </c>
      <c r="D2422" s="23"/>
      <c r="E2422" s="13"/>
      <c r="F2422" s="70" t="s">
        <v>119</v>
      </c>
      <c r="G2422" s="18" t="s">
        <v>677</v>
      </c>
    </row>
    <row r="2423" spans="2:8" hidden="1" outlineLevel="1">
      <c r="B2423" s="12" t="s">
        <v>2697</v>
      </c>
      <c r="C2423" s="9" t="str">
        <f>C2422</f>
        <v>Show</v>
      </c>
      <c r="D2423" s="23"/>
      <c r="E2423" s="13"/>
      <c r="F2423" s="70"/>
      <c r="G2423" s="78" t="s">
        <v>121</v>
      </c>
      <c r="H2423" s="79" t="s">
        <v>2301</v>
      </c>
    </row>
    <row r="2424" spans="2:8" hidden="1" outlineLevel="1">
      <c r="B2424" s="12" t="s">
        <v>2697</v>
      </c>
      <c r="C2424" s="9" t="str">
        <f>IF(COUNTIF(C2425:C2426,"Show")&gt;0,"Show","Hide")</f>
        <v>Show</v>
      </c>
      <c r="D2424" s="23"/>
      <c r="E2424" s="13">
        <v>1.2</v>
      </c>
      <c r="F2424" s="71" t="s">
        <v>131</v>
      </c>
      <c r="G2424" s="78"/>
    </row>
    <row r="2425" spans="2:8" hidden="1" outlineLevel="1">
      <c r="B2425" s="12" t="s">
        <v>2697</v>
      </c>
      <c r="C2425" s="9" t="str">
        <f>C840</f>
        <v>Show</v>
      </c>
      <c r="D2425" s="23"/>
      <c r="E2425" s="13"/>
      <c r="F2425" s="70" t="s">
        <v>119</v>
      </c>
      <c r="G2425" s="12" t="s">
        <v>3407</v>
      </c>
    </row>
    <row r="2426" spans="2:8" hidden="1" outlineLevel="1">
      <c r="B2426" s="12" t="s">
        <v>2697</v>
      </c>
      <c r="C2426" s="9" t="str">
        <f>C2425</f>
        <v>Show</v>
      </c>
      <c r="D2426" s="23"/>
      <c r="E2426" s="13"/>
      <c r="F2426" s="70"/>
      <c r="G2426" s="78" t="s">
        <v>121</v>
      </c>
      <c r="H2426" s="75" t="s">
        <v>2323</v>
      </c>
    </row>
    <row r="2427" spans="2:8" hidden="1" outlineLevel="1">
      <c r="B2427" s="12" t="s">
        <v>2697</v>
      </c>
      <c r="C2427" s="9" t="s">
        <v>2699</v>
      </c>
      <c r="D2427" s="23"/>
      <c r="E2427" s="13"/>
      <c r="F2427" s="70" t="str">
        <f>IF(C2425="Show","B.","A.")</f>
        <v>B.</v>
      </c>
      <c r="G2427" s="12" t="s">
        <v>3445</v>
      </c>
    </row>
    <row r="2428" spans="2:8" hidden="1" outlineLevel="1">
      <c r="B2428" s="12" t="s">
        <v>2697</v>
      </c>
      <c r="C2428" s="9" t="str">
        <f>C2427</f>
        <v>Show</v>
      </c>
      <c r="D2428" s="23"/>
      <c r="E2428" s="13"/>
      <c r="F2428" s="70"/>
      <c r="G2428" s="78" t="s">
        <v>121</v>
      </c>
      <c r="H2428" s="75" t="s">
        <v>2529</v>
      </c>
    </row>
    <row r="2429" spans="2:8" hidden="1" outlineLevel="1">
      <c r="B2429" s="12" t="s">
        <v>2697</v>
      </c>
      <c r="C2429" s="9" t="str">
        <f>C2420</f>
        <v>Show</v>
      </c>
      <c r="D2429" s="23" t="s">
        <v>613</v>
      </c>
      <c r="E2429" s="13"/>
      <c r="G2429" s="13"/>
    </row>
    <row r="2430" spans="2:8" hidden="1" outlineLevel="1">
      <c r="B2430" s="12" t="s">
        <v>2697</v>
      </c>
      <c r="C2430" s="9" t="str">
        <f>C2420</f>
        <v>Show</v>
      </c>
      <c r="D2430" s="23"/>
      <c r="E2430" s="12" t="str">
        <f>IF(COUNTIF(C2431:C2432,"Show")&gt;0,"2.1 Product Requirements","No EGC Requirements")</f>
        <v>2.1 Product Requirements</v>
      </c>
      <c r="G2430" s="13"/>
    </row>
    <row r="2431" spans="2:8" hidden="1" outlineLevel="1">
      <c r="B2431" s="12" t="s">
        <v>2697</v>
      </c>
      <c r="C2431" s="9" t="str">
        <f>C1151</f>
        <v>Show</v>
      </c>
      <c r="D2431" s="23"/>
      <c r="E2431" s="12"/>
      <c r="F2431" s="104" t="s">
        <v>119</v>
      </c>
      <c r="G2431" s="12" t="s">
        <v>3431</v>
      </c>
    </row>
    <row r="2432" spans="2:8" hidden="1" outlineLevel="1">
      <c r="B2432" s="12" t="s">
        <v>2697</v>
      </c>
      <c r="C2432" s="9" t="str">
        <f>C2431</f>
        <v>Show</v>
      </c>
      <c r="D2432" s="23"/>
      <c r="E2432" s="12"/>
      <c r="G2432" s="30" t="s">
        <v>121</v>
      </c>
      <c r="H2432" s="75" t="s">
        <v>2408</v>
      </c>
    </row>
    <row r="2433" spans="2:8" hidden="1" outlineLevel="1">
      <c r="B2433" s="12" t="s">
        <v>2697</v>
      </c>
      <c r="C2433" s="9" t="str">
        <f>C1153</f>
        <v>Show</v>
      </c>
      <c r="D2433" s="23"/>
      <c r="E2433" s="12"/>
      <c r="F2433" s="70" t="str">
        <f>IF(C2431="Show","B.","A.")</f>
        <v>B.</v>
      </c>
      <c r="G2433" s="12" t="s">
        <v>3407</v>
      </c>
    </row>
    <row r="2434" spans="2:8" hidden="1" outlineLevel="1">
      <c r="B2434" s="12" t="s">
        <v>2697</v>
      </c>
      <c r="C2434" s="9" t="str">
        <f>C2433</f>
        <v>Show</v>
      </c>
      <c r="D2434" s="23"/>
      <c r="E2434" s="12"/>
      <c r="F2434" s="70"/>
      <c r="G2434" s="30" t="s">
        <v>121</v>
      </c>
      <c r="H2434" s="75" t="s">
        <v>2698</v>
      </c>
    </row>
    <row r="2435" spans="2:8" hidden="1" outlineLevel="1">
      <c r="B2435" s="12" t="s">
        <v>2697</v>
      </c>
      <c r="C2435" s="9" t="s">
        <v>2699</v>
      </c>
      <c r="D2435" s="23"/>
      <c r="E2435" s="12"/>
      <c r="F2435" s="70" t="str">
        <f>IF(AND(C2431="Show",C2433="Show"),"C.",IF(OR(C2431="Show",C2433="Show"),"B.","A."))</f>
        <v>C.</v>
      </c>
      <c r="G2435" s="12" t="s">
        <v>3445</v>
      </c>
    </row>
    <row r="2436" spans="2:8" hidden="1" outlineLevel="1">
      <c r="B2436" s="12" t="s">
        <v>2697</v>
      </c>
      <c r="C2436" s="9" t="str">
        <f>C2435</f>
        <v>Show</v>
      </c>
      <c r="D2436" s="23"/>
      <c r="E2436" s="12"/>
      <c r="G2436" s="30" t="s">
        <v>121</v>
      </c>
      <c r="H2436" s="75" t="s">
        <v>2530</v>
      </c>
    </row>
    <row r="2437" spans="2:8" hidden="1" outlineLevel="1">
      <c r="B2437" s="12" t="s">
        <v>2697</v>
      </c>
      <c r="C2437" s="9" t="str">
        <f>C2420</f>
        <v>Show</v>
      </c>
      <c r="D2437" s="23" t="s">
        <v>187</v>
      </c>
      <c r="E2437" s="13"/>
      <c r="G2437" s="13"/>
    </row>
    <row r="2438" spans="2:8" hidden="1" outlineLevel="1">
      <c r="B2438" s="12" t="s">
        <v>2697</v>
      </c>
      <c r="C2438" s="9" t="str">
        <f>C2420</f>
        <v>Show</v>
      </c>
      <c r="D2438" s="23"/>
      <c r="E2438" s="12" t="str">
        <f>IF(COUNTIF(C2439:C2440,"Show")&gt;0,"3.1 Execution Requirements","No EGC Requirements")</f>
        <v>3.1 Execution Requirements</v>
      </c>
      <c r="G2438" s="13"/>
    </row>
    <row r="2439" spans="2:8" hidden="1" outlineLevel="1">
      <c r="B2439" s="12" t="s">
        <v>2697</v>
      </c>
      <c r="C2439" s="9" t="str">
        <f>C1535</f>
        <v>Show</v>
      </c>
      <c r="D2439" s="23"/>
      <c r="E2439" s="13"/>
      <c r="F2439" s="70" t="s">
        <v>119</v>
      </c>
      <c r="G2439" s="12" t="s">
        <v>3446</v>
      </c>
    </row>
    <row r="2440" spans="2:8" hidden="1" outlineLevel="1">
      <c r="B2440" s="12" t="s">
        <v>2697</v>
      </c>
      <c r="C2440" s="9" t="str">
        <f>C2439</f>
        <v>Show</v>
      </c>
      <c r="D2440" s="23"/>
      <c r="E2440" s="13"/>
      <c r="G2440" s="78" t="s">
        <v>121</v>
      </c>
      <c r="H2440" s="75" t="s">
        <v>2324</v>
      </c>
    </row>
    <row r="2441" spans="2:8" hidden="1" outlineLevel="1">
      <c r="B2441" s="12" t="s">
        <v>2697</v>
      </c>
      <c r="C2441" s="9" t="str">
        <f>C2420</f>
        <v>Show</v>
      </c>
    </row>
    <row r="2442" spans="2:8" collapsed="1">
      <c r="B2442" s="12" t="s">
        <v>2697</v>
      </c>
      <c r="C2442" s="2" t="str">
        <f>C2443</f>
        <v>Show</v>
      </c>
      <c r="D2442" s="55" t="s">
        <v>1636</v>
      </c>
      <c r="E2442" s="55"/>
      <c r="F2442" s="57" t="s">
        <v>1614</v>
      </c>
      <c r="G2442" s="35"/>
      <c r="H2442" s="54"/>
    </row>
    <row r="2443" spans="2:8" hidden="1" outlineLevel="1">
      <c r="B2443" s="12" t="s">
        <v>2697</v>
      </c>
      <c r="C2443" s="2" t="str">
        <f>IF((COUNTIF(C2447:C2449,"Show")+COUNTIF(C2452:C2453,"Show"))&gt;0,"Show","Hide")</f>
        <v>Show</v>
      </c>
      <c r="D2443" s="23" t="s">
        <v>117</v>
      </c>
      <c r="E2443" s="13"/>
      <c r="G2443" s="13"/>
    </row>
    <row r="2444" spans="2:8" hidden="1" outlineLevel="1">
      <c r="B2444" s="12" t="s">
        <v>2697</v>
      </c>
      <c r="C2444" s="9" t="str">
        <f>C2443</f>
        <v>Show</v>
      </c>
      <c r="D2444" s="23"/>
      <c r="E2444" s="13">
        <v>1.1000000000000001</v>
      </c>
      <c r="F2444" s="11" t="s">
        <v>118</v>
      </c>
      <c r="G2444" s="13"/>
    </row>
    <row r="2445" spans="2:8" hidden="1" outlineLevel="1">
      <c r="B2445" s="12" t="s">
        <v>2697</v>
      </c>
      <c r="C2445" s="9" t="str">
        <f>C2444</f>
        <v>Show</v>
      </c>
      <c r="D2445" s="23"/>
      <c r="E2445" s="13"/>
      <c r="F2445" s="70" t="s">
        <v>119</v>
      </c>
      <c r="H2445" s="18" t="s">
        <v>677</v>
      </c>
    </row>
    <row r="2446" spans="2:8" hidden="1" outlineLevel="1">
      <c r="B2446" s="12" t="s">
        <v>2697</v>
      </c>
      <c r="C2446" s="9" t="str">
        <f>C2445</f>
        <v>Show</v>
      </c>
      <c r="D2446" s="23"/>
      <c r="E2446" s="13"/>
      <c r="F2446" s="70"/>
      <c r="G2446" s="78" t="s">
        <v>121</v>
      </c>
      <c r="H2446" s="79" t="s">
        <v>2301</v>
      </c>
    </row>
    <row r="2447" spans="2:8" hidden="1" outlineLevel="1">
      <c r="B2447" s="12" t="s">
        <v>2697</v>
      </c>
      <c r="C2447" s="9" t="str">
        <f>IF(COUNTIF(C2448:C2449,"Show")&gt;0,"Show","Hide")</f>
        <v>Show</v>
      </c>
      <c r="D2447" s="23"/>
      <c r="E2447" s="13">
        <v>1.2</v>
      </c>
      <c r="F2447" s="71" t="s">
        <v>131</v>
      </c>
      <c r="G2447" s="78"/>
    </row>
    <row r="2448" spans="2:8" ht="30" hidden="1" outlineLevel="1">
      <c r="B2448" s="12" t="s">
        <v>2697</v>
      </c>
      <c r="C2448" s="9" t="str">
        <f>IF(COUNTIF(C938:C939,"Show")&gt;0,"Show","Hide")</f>
        <v>Show</v>
      </c>
      <c r="D2448" s="23"/>
      <c r="E2448" s="13"/>
      <c r="F2448" s="70" t="s">
        <v>119</v>
      </c>
      <c r="H2448" s="13" t="s">
        <v>3444</v>
      </c>
    </row>
    <row r="2449" spans="2:8" ht="30" hidden="1" outlineLevel="1">
      <c r="B2449" s="12" t="s">
        <v>2697</v>
      </c>
      <c r="C2449" s="9" t="str">
        <f>C2448</f>
        <v>Show</v>
      </c>
      <c r="D2449" s="23"/>
      <c r="E2449" s="13"/>
      <c r="F2449" s="70"/>
      <c r="G2449" s="78" t="s">
        <v>121</v>
      </c>
      <c r="H2449" s="75" t="s">
        <v>2700</v>
      </c>
    </row>
    <row r="2450" spans="2:8" hidden="1" outlineLevel="1">
      <c r="B2450" s="12" t="s">
        <v>2697</v>
      </c>
      <c r="C2450" s="9" t="str">
        <f>C2443</f>
        <v>Show</v>
      </c>
      <c r="D2450" s="23" t="s">
        <v>613</v>
      </c>
      <c r="E2450" s="13"/>
      <c r="G2450" s="13"/>
    </row>
    <row r="2451" spans="2:8" hidden="1" outlineLevel="1">
      <c r="B2451" s="12" t="s">
        <v>2697</v>
      </c>
      <c r="C2451" s="9" t="str">
        <f>C2443</f>
        <v>Show</v>
      </c>
      <c r="D2451" s="23"/>
      <c r="E2451" s="12" t="str">
        <f>IF(COUNTIF(C2452:C2453,"Show")&gt;0,"2.1 Product Requirements","No EGC Requirements")</f>
        <v>2.1 Product Requirements</v>
      </c>
      <c r="G2451" s="13"/>
    </row>
    <row r="2452" spans="2:8" ht="30" hidden="1" outlineLevel="1">
      <c r="B2452" s="12" t="s">
        <v>2697</v>
      </c>
      <c r="C2452" s="9" t="str">
        <f>IF(COUNTIF(C1248:C1249,"Show")&gt;0,"Show","Hide")</f>
        <v>Show</v>
      </c>
      <c r="D2452" s="23"/>
      <c r="E2452" s="12"/>
      <c r="F2452" s="11" t="s">
        <v>119</v>
      </c>
      <c r="H2452" s="13" t="s">
        <v>3444</v>
      </c>
    </row>
    <row r="2453" spans="2:8" ht="30" hidden="1" outlineLevel="1">
      <c r="B2453" s="12" t="s">
        <v>2697</v>
      </c>
      <c r="C2453" s="9" t="str">
        <f>C2452</f>
        <v>Show</v>
      </c>
      <c r="D2453" s="23"/>
      <c r="E2453" s="12"/>
      <c r="G2453" s="30" t="s">
        <v>121</v>
      </c>
      <c r="H2453" s="75" t="s">
        <v>2701</v>
      </c>
    </row>
    <row r="2454" spans="2:8" hidden="1" outlineLevel="1">
      <c r="B2454" s="12" t="s">
        <v>2697</v>
      </c>
      <c r="C2454" s="9" t="str">
        <f>C2443</f>
        <v>Show</v>
      </c>
      <c r="D2454" s="23" t="s">
        <v>187</v>
      </c>
      <c r="E2454" s="13"/>
      <c r="G2454" s="13"/>
    </row>
    <row r="2455" spans="2:8" hidden="1" outlineLevel="1">
      <c r="B2455" s="12" t="s">
        <v>2697</v>
      </c>
      <c r="C2455" s="9" t="str">
        <f>C2443</f>
        <v>Show</v>
      </c>
      <c r="D2455" s="23"/>
      <c r="E2455" s="12" t="s">
        <v>2703</v>
      </c>
      <c r="G2455" s="13"/>
    </row>
    <row r="2456" spans="2:8" hidden="1" outlineLevel="1">
      <c r="B2456" s="12" t="s">
        <v>2697</v>
      </c>
      <c r="C2456" s="9" t="str">
        <f>C2443</f>
        <v>Show</v>
      </c>
    </row>
    <row r="2457" spans="2:8" collapsed="1">
      <c r="B2457" s="12" t="s">
        <v>2697</v>
      </c>
      <c r="C2457" s="2" t="str">
        <f>C2458</f>
        <v>Show</v>
      </c>
      <c r="D2457" s="55" t="s">
        <v>263</v>
      </c>
      <c r="E2457" s="55"/>
      <c r="F2457" s="57" t="s">
        <v>2014</v>
      </c>
      <c r="G2457" s="56"/>
      <c r="H2457" s="58"/>
    </row>
    <row r="2458" spans="2:8" hidden="1" outlineLevel="1">
      <c r="B2458" s="12" t="s">
        <v>2697</v>
      </c>
      <c r="C2458" s="2" t="str">
        <f>IF(COUNTIF(C2466:C2467,"Show")&gt;0,"Show","Hide")</f>
        <v>Show</v>
      </c>
      <c r="D2458" s="23" t="s">
        <v>117</v>
      </c>
      <c r="E2458" s="13"/>
      <c r="G2458" s="13"/>
    </row>
    <row r="2459" spans="2:8" hidden="1" outlineLevel="1">
      <c r="B2459" s="12" t="s">
        <v>2697</v>
      </c>
      <c r="C2459" s="9" t="str">
        <f>C2458</f>
        <v>Show</v>
      </c>
      <c r="D2459" s="23"/>
      <c r="E2459" s="13">
        <v>1.1000000000000001</v>
      </c>
      <c r="F2459" s="11" t="s">
        <v>118</v>
      </c>
      <c r="G2459" s="13"/>
    </row>
    <row r="2460" spans="2:8" hidden="1" outlineLevel="1">
      <c r="B2460" s="12" t="s">
        <v>2697</v>
      </c>
      <c r="C2460" s="9" t="str">
        <f>C2459</f>
        <v>Show</v>
      </c>
      <c r="D2460" s="23"/>
      <c r="E2460" s="13"/>
      <c r="F2460" s="70" t="s">
        <v>119</v>
      </c>
      <c r="G2460" s="18" t="s">
        <v>677</v>
      </c>
    </row>
    <row r="2461" spans="2:8" hidden="1" outlineLevel="1">
      <c r="B2461" s="12" t="s">
        <v>2697</v>
      </c>
      <c r="C2461" s="9" t="str">
        <f>C2460</f>
        <v>Show</v>
      </c>
      <c r="D2461" s="23"/>
      <c r="E2461" s="13"/>
      <c r="F2461" s="70"/>
      <c r="G2461" s="78" t="s">
        <v>121</v>
      </c>
      <c r="H2461" s="79" t="s">
        <v>2301</v>
      </c>
    </row>
    <row r="2462" spans="2:8" hidden="1" outlineLevel="1">
      <c r="B2462" s="12" t="s">
        <v>2697</v>
      </c>
      <c r="C2462" s="9" t="str">
        <f>C2458</f>
        <v>Show</v>
      </c>
      <c r="D2462" s="23" t="s">
        <v>613</v>
      </c>
      <c r="E2462" s="13"/>
      <c r="G2462" s="13"/>
    </row>
    <row r="2463" spans="2:8" hidden="1" outlineLevel="1">
      <c r="B2463" s="12" t="s">
        <v>2697</v>
      </c>
      <c r="C2463" s="9" t="str">
        <f>C2458</f>
        <v>Show</v>
      </c>
      <c r="D2463" s="23"/>
      <c r="E2463" s="12" t="s">
        <v>2703</v>
      </c>
      <c r="G2463" s="13"/>
    </row>
    <row r="2464" spans="2:8" hidden="1" outlineLevel="1">
      <c r="B2464" s="12" t="s">
        <v>2697</v>
      </c>
      <c r="C2464" s="9" t="str">
        <f>C2458</f>
        <v>Show</v>
      </c>
      <c r="D2464" s="23" t="s">
        <v>187</v>
      </c>
      <c r="E2464" s="13"/>
      <c r="G2464" s="13"/>
    </row>
    <row r="2465" spans="2:8" hidden="1" outlineLevel="1">
      <c r="B2465" s="12" t="s">
        <v>2697</v>
      </c>
      <c r="C2465" s="9" t="str">
        <f>C2458</f>
        <v>Show</v>
      </c>
      <c r="D2465" s="23"/>
      <c r="E2465" s="12" t="str">
        <f>IF(COUNTIF(C2466:C2467,"Show")&gt;0,"3.1 Execution Requirements","No EGC Requirements")</f>
        <v>3.1 Execution Requirements</v>
      </c>
      <c r="G2465" s="13"/>
    </row>
    <row r="2466" spans="2:8" ht="30" hidden="1" outlineLevel="1">
      <c r="B2466" s="12" t="s">
        <v>2697</v>
      </c>
      <c r="C2466" s="9" t="str">
        <f>C1655</f>
        <v>Show</v>
      </c>
      <c r="D2466" s="23"/>
      <c r="E2466" s="13"/>
      <c r="F2466" s="70" t="s">
        <v>119</v>
      </c>
      <c r="H2466" s="75" t="s">
        <v>3444</v>
      </c>
    </row>
    <row r="2467" spans="2:8" ht="30" hidden="1" outlineLevel="1">
      <c r="B2467" s="12" t="s">
        <v>2697</v>
      </c>
      <c r="C2467" s="9" t="str">
        <f>C2466</f>
        <v>Show</v>
      </c>
      <c r="D2467" s="23"/>
      <c r="E2467" s="13"/>
      <c r="G2467" s="78" t="s">
        <v>121</v>
      </c>
      <c r="H2467" s="75" t="s">
        <v>2702</v>
      </c>
    </row>
    <row r="2468" spans="2:8" hidden="1" outlineLevel="1">
      <c r="B2468" s="12" t="s">
        <v>2697</v>
      </c>
      <c r="C2468" s="9" t="str">
        <f>C2458</f>
        <v>Show</v>
      </c>
    </row>
    <row r="2469" spans="2:8" collapsed="1">
      <c r="B2469" s="12" t="s">
        <v>2697</v>
      </c>
      <c r="C2469" s="2" t="str">
        <f>C2470</f>
        <v>Show</v>
      </c>
      <c r="D2469" s="55" t="s">
        <v>1799</v>
      </c>
      <c r="E2469" s="55"/>
      <c r="F2469" s="57" t="s">
        <v>1800</v>
      </c>
      <c r="G2469" s="35"/>
      <c r="H2469" s="54"/>
    </row>
    <row r="2470" spans="2:8" hidden="1" outlineLevel="1">
      <c r="B2470" s="12" t="s">
        <v>2697</v>
      </c>
      <c r="C2470" s="2" t="str">
        <f>IF((COUNTIF(C2474:C2476,"Show")+COUNTIF(C2479:C2480,"Show")+COUNTIF(C2483:C2484,"Show"))&gt;0,"Show","Hide")</f>
        <v>Show</v>
      </c>
      <c r="D2470" s="23" t="s">
        <v>117</v>
      </c>
      <c r="E2470" s="13"/>
      <c r="G2470" s="13"/>
    </row>
    <row r="2471" spans="2:8" hidden="1" outlineLevel="1">
      <c r="B2471" s="12" t="s">
        <v>2697</v>
      </c>
      <c r="C2471" s="9" t="str">
        <f>C2470</f>
        <v>Show</v>
      </c>
      <c r="D2471" s="23"/>
      <c r="E2471" s="13">
        <v>1.1000000000000001</v>
      </c>
      <c r="F2471" s="11" t="s">
        <v>118</v>
      </c>
      <c r="G2471" s="13"/>
    </row>
    <row r="2472" spans="2:8" hidden="1" outlineLevel="1">
      <c r="B2472" s="12" t="s">
        <v>2697</v>
      </c>
      <c r="C2472" s="9" t="str">
        <f>C2471</f>
        <v>Show</v>
      </c>
      <c r="D2472" s="23"/>
      <c r="E2472" s="13"/>
      <c r="F2472" s="70" t="s">
        <v>119</v>
      </c>
      <c r="G2472" s="18" t="s">
        <v>677</v>
      </c>
    </row>
    <row r="2473" spans="2:8" hidden="1" outlineLevel="1">
      <c r="B2473" s="12" t="s">
        <v>2697</v>
      </c>
      <c r="C2473" s="9" t="str">
        <f>C2472</f>
        <v>Show</v>
      </c>
      <c r="D2473" s="23"/>
      <c r="E2473" s="13"/>
      <c r="F2473" s="70"/>
      <c r="G2473" s="78" t="s">
        <v>121</v>
      </c>
      <c r="H2473" s="79" t="s">
        <v>2301</v>
      </c>
    </row>
    <row r="2474" spans="2:8" hidden="1" outlineLevel="1">
      <c r="B2474" s="12" t="s">
        <v>2697</v>
      </c>
      <c r="C2474" s="9" t="str">
        <f>IF(COUNTIF(C2475:C2476,"Show")&gt;0,"Show","Hide")</f>
        <v>Show</v>
      </c>
      <c r="D2474" s="23"/>
      <c r="E2474" s="13">
        <v>1.2</v>
      </c>
      <c r="F2474" s="71" t="s">
        <v>131</v>
      </c>
      <c r="G2474" s="78"/>
    </row>
    <row r="2475" spans="2:8" hidden="1" outlineLevel="1">
      <c r="B2475" s="12" t="s">
        <v>2697</v>
      </c>
      <c r="C2475" s="9" t="str">
        <f>C713</f>
        <v>Show</v>
      </c>
      <c r="D2475" s="23"/>
      <c r="E2475" s="13"/>
      <c r="F2475" s="70" t="s">
        <v>119</v>
      </c>
      <c r="G2475" s="12" t="s">
        <v>3439</v>
      </c>
    </row>
    <row r="2476" spans="2:8" hidden="1" outlineLevel="1">
      <c r="B2476" s="12" t="s">
        <v>2697</v>
      </c>
      <c r="C2476" s="9" t="str">
        <f>C2475</f>
        <v>Show</v>
      </c>
      <c r="D2476" s="23"/>
      <c r="E2476" s="13"/>
      <c r="F2476" s="70"/>
      <c r="G2476" s="78" t="s">
        <v>121</v>
      </c>
      <c r="H2476" s="75" t="s">
        <v>2547</v>
      </c>
    </row>
    <row r="2477" spans="2:8" hidden="1" outlineLevel="1">
      <c r="B2477" s="12" t="s">
        <v>2697</v>
      </c>
      <c r="C2477" s="9" t="str">
        <f>C2470</f>
        <v>Show</v>
      </c>
      <c r="D2477" s="23" t="s">
        <v>613</v>
      </c>
      <c r="E2477" s="13"/>
      <c r="G2477" s="13"/>
    </row>
    <row r="2478" spans="2:8" hidden="1" outlineLevel="1">
      <c r="B2478" s="12" t="s">
        <v>2697</v>
      </c>
      <c r="C2478" s="9" t="str">
        <f>C2470</f>
        <v>Show</v>
      </c>
      <c r="D2478" s="23"/>
      <c r="E2478" s="12" t="str">
        <f>IF(COUNTIF(C2479:C2480,"Show")&gt;0,"2.1 Product Requirements","No EGC Requirements")</f>
        <v>2.1 Product Requirements</v>
      </c>
      <c r="G2478" s="13"/>
    </row>
    <row r="2479" spans="2:8" hidden="1" outlineLevel="1">
      <c r="B2479" s="12" t="s">
        <v>2697</v>
      </c>
      <c r="C2479" s="9" t="str">
        <f>C1048</f>
        <v>Show</v>
      </c>
      <c r="D2479" s="23"/>
      <c r="E2479" s="12"/>
      <c r="F2479" s="11" t="s">
        <v>119</v>
      </c>
      <c r="G2479" s="12" t="s">
        <v>3439</v>
      </c>
    </row>
    <row r="2480" spans="2:8" hidden="1" outlineLevel="1">
      <c r="B2480" s="12" t="s">
        <v>2697</v>
      </c>
      <c r="C2480" s="9" t="str">
        <f>C2479</f>
        <v>Show</v>
      </c>
      <c r="D2480" s="23"/>
      <c r="E2480" s="12"/>
      <c r="G2480" s="30" t="s">
        <v>121</v>
      </c>
      <c r="H2480" s="75" t="s">
        <v>2549</v>
      </c>
    </row>
    <row r="2481" spans="2:8" hidden="1" outlineLevel="1">
      <c r="B2481" s="12" t="s">
        <v>2697</v>
      </c>
      <c r="C2481" s="9" t="str">
        <f>C2470</f>
        <v>Show</v>
      </c>
      <c r="D2481" s="23" t="s">
        <v>187</v>
      </c>
      <c r="E2481" s="13"/>
      <c r="G2481" s="13"/>
    </row>
    <row r="2482" spans="2:8" hidden="1" outlineLevel="1">
      <c r="B2482" s="12" t="s">
        <v>2697</v>
      </c>
      <c r="C2482" s="9" t="str">
        <f>C2470</f>
        <v>Show</v>
      </c>
      <c r="D2482" s="23"/>
      <c r="E2482" s="12" t="str">
        <f>IF(COUNTIF(C2483:C2484,"Show")&gt;0,"3.1 Execution Requirements","No EGC Requirements")</f>
        <v>3.1 Execution Requirements</v>
      </c>
      <c r="G2482" s="13"/>
    </row>
    <row r="2483" spans="2:8" hidden="1" outlineLevel="1">
      <c r="B2483" s="12" t="s">
        <v>2697</v>
      </c>
      <c r="C2483" s="9" t="str">
        <f>C1404</f>
        <v>Show</v>
      </c>
      <c r="D2483" s="23"/>
      <c r="E2483" s="13"/>
      <c r="F2483" s="70" t="s">
        <v>119</v>
      </c>
      <c r="G2483" s="12" t="s">
        <v>3439</v>
      </c>
    </row>
    <row r="2484" spans="2:8" ht="30" hidden="1" outlineLevel="1">
      <c r="B2484" s="12" t="s">
        <v>2697</v>
      </c>
      <c r="C2484" s="9" t="str">
        <f>C2483</f>
        <v>Show</v>
      </c>
      <c r="D2484" s="23"/>
      <c r="E2484" s="13"/>
      <c r="G2484" s="78" t="s">
        <v>121</v>
      </c>
      <c r="H2484" s="75" t="s">
        <v>2551</v>
      </c>
    </row>
    <row r="2485" spans="2:8" hidden="1" outlineLevel="1">
      <c r="B2485" s="12" t="s">
        <v>2697</v>
      </c>
      <c r="C2485" s="9" t="str">
        <f>C2470</f>
        <v>Show</v>
      </c>
    </row>
    <row r="2486" spans="2:8" collapsed="1">
      <c r="B2486" s="12" t="s">
        <v>2697</v>
      </c>
      <c r="C2486" s="2" t="str">
        <f>C2487</f>
        <v>Show</v>
      </c>
      <c r="D2486" s="55" t="s">
        <v>264</v>
      </c>
      <c r="E2486" s="55"/>
      <c r="F2486" s="57" t="s">
        <v>265</v>
      </c>
      <c r="G2486" s="35"/>
      <c r="H2486" s="54"/>
    </row>
    <row r="2487" spans="2:8" hidden="1" outlineLevel="1">
      <c r="B2487" s="12" t="s">
        <v>2697</v>
      </c>
      <c r="C2487" s="2" t="str">
        <f>IF((COUNTIF(C2493:C2494,"Show")+COUNTIF(C2497:C2500,"Show"))&gt;0,"Show","Hide")</f>
        <v>Show</v>
      </c>
      <c r="D2487" s="23" t="s">
        <v>117</v>
      </c>
      <c r="E2487" s="13"/>
      <c r="G2487" s="13"/>
    </row>
    <row r="2488" spans="2:8" hidden="1" outlineLevel="1">
      <c r="B2488" s="12" t="s">
        <v>2697</v>
      </c>
      <c r="C2488" s="9" t="str">
        <f>C2487</f>
        <v>Show</v>
      </c>
      <c r="D2488" s="23"/>
      <c r="E2488" s="13">
        <v>1.1000000000000001</v>
      </c>
      <c r="F2488" s="11" t="s">
        <v>118</v>
      </c>
      <c r="G2488" s="13"/>
    </row>
    <row r="2489" spans="2:8" hidden="1" outlineLevel="1">
      <c r="B2489" s="12" t="s">
        <v>2697</v>
      </c>
      <c r="C2489" s="9" t="str">
        <f>C2488</f>
        <v>Show</v>
      </c>
      <c r="D2489" s="23"/>
      <c r="E2489" s="13"/>
      <c r="F2489" s="70" t="s">
        <v>119</v>
      </c>
      <c r="G2489" s="18" t="s">
        <v>677</v>
      </c>
    </row>
    <row r="2490" spans="2:8" hidden="1" outlineLevel="1">
      <c r="B2490" s="12" t="s">
        <v>2697</v>
      </c>
      <c r="C2490" s="9" t="str">
        <f>C2489</f>
        <v>Show</v>
      </c>
      <c r="D2490" s="23"/>
      <c r="E2490" s="13"/>
      <c r="F2490" s="70"/>
      <c r="G2490" s="78" t="s">
        <v>121</v>
      </c>
      <c r="H2490" s="79" t="s">
        <v>2301</v>
      </c>
    </row>
    <row r="2491" spans="2:8" hidden="1" outlineLevel="1">
      <c r="B2491" s="12" t="s">
        <v>2697</v>
      </c>
      <c r="C2491" s="9" t="str">
        <f>C2487</f>
        <v>Show</v>
      </c>
      <c r="D2491" s="23" t="s">
        <v>613</v>
      </c>
      <c r="E2491" s="13"/>
      <c r="G2491" s="13"/>
    </row>
    <row r="2492" spans="2:8" hidden="1" outlineLevel="1">
      <c r="B2492" s="12" t="s">
        <v>2697</v>
      </c>
      <c r="C2492" s="9" t="str">
        <f>C2487</f>
        <v>Show</v>
      </c>
      <c r="D2492" s="23"/>
      <c r="E2492" s="12" t="str">
        <f>IF(COUNTIF(C2493:C2494,"Show")&gt;0,"2.1 Product Requirements","No EGC Requirements")</f>
        <v>2.1 Product Requirements</v>
      </c>
      <c r="G2492" s="13"/>
    </row>
    <row r="2493" spans="2:8" hidden="1" outlineLevel="1">
      <c r="B2493" s="12" t="s">
        <v>2697</v>
      </c>
      <c r="C2493" s="9" t="str">
        <f>C1151</f>
        <v>Show</v>
      </c>
      <c r="D2493" s="23"/>
      <c r="E2493" s="12"/>
      <c r="F2493" s="70" t="s">
        <v>119</v>
      </c>
      <c r="G2493" s="12" t="s">
        <v>3431</v>
      </c>
    </row>
    <row r="2494" spans="2:8" hidden="1" outlineLevel="1">
      <c r="B2494" s="12" t="s">
        <v>2697</v>
      </c>
      <c r="C2494" s="9" t="str">
        <f>C2493</f>
        <v>Show</v>
      </c>
      <c r="D2494" s="23"/>
      <c r="E2494" s="12"/>
      <c r="G2494" s="30" t="s">
        <v>121</v>
      </c>
      <c r="H2494" s="75" t="s">
        <v>2408</v>
      </c>
    </row>
    <row r="2495" spans="2:8" hidden="1" outlineLevel="1">
      <c r="B2495" s="12" t="s">
        <v>2697</v>
      </c>
      <c r="C2495" s="9" t="str">
        <f>C2487</f>
        <v>Show</v>
      </c>
      <c r="D2495" s="23" t="s">
        <v>187</v>
      </c>
      <c r="E2495" s="13"/>
      <c r="G2495" s="13"/>
    </row>
    <row r="2496" spans="2:8" hidden="1" outlineLevel="1">
      <c r="B2496" s="12" t="s">
        <v>2697</v>
      </c>
      <c r="C2496" s="9" t="str">
        <f>C2487</f>
        <v>Show</v>
      </c>
      <c r="D2496" s="23"/>
      <c r="E2496" s="12" t="str">
        <f>IF(COUNTIF(C2499:C2500,"Show")&gt;0,"3.1 Execution Requirements","No EGC Requirements")</f>
        <v>3.1 Execution Requirements</v>
      </c>
      <c r="G2496" s="13"/>
    </row>
    <row r="2497" spans="2:8" hidden="1" outlineLevel="1">
      <c r="B2497" s="12" t="s">
        <v>2697</v>
      </c>
      <c r="C2497" s="9" t="str">
        <f>C1636</f>
        <v>Show</v>
      </c>
      <c r="D2497" s="23"/>
      <c r="E2497" s="12"/>
      <c r="F2497" s="70" t="s">
        <v>119</v>
      </c>
      <c r="G2497" s="12" t="s">
        <v>3447</v>
      </c>
    </row>
    <row r="2498" spans="2:8" ht="30" hidden="1" outlineLevel="1">
      <c r="B2498" s="12" t="s">
        <v>2697</v>
      </c>
      <c r="C2498" s="9" t="str">
        <f>C2497</f>
        <v>Show</v>
      </c>
      <c r="D2498" s="23"/>
      <c r="E2498" s="12"/>
      <c r="G2498" s="13"/>
      <c r="H2498" s="75" t="s">
        <v>2705</v>
      </c>
    </row>
    <row r="2499" spans="2:8" ht="30" hidden="1" outlineLevel="1">
      <c r="B2499" s="12" t="s">
        <v>2697</v>
      </c>
      <c r="C2499" s="9" t="str">
        <f>C1656</f>
        <v>Show</v>
      </c>
      <c r="D2499" s="23"/>
      <c r="E2499" s="13"/>
      <c r="F2499" s="70" t="s">
        <v>125</v>
      </c>
      <c r="H2499" s="75" t="s">
        <v>3444</v>
      </c>
    </row>
    <row r="2500" spans="2:8" ht="30" hidden="1" outlineLevel="1">
      <c r="B2500" s="12" t="s">
        <v>2697</v>
      </c>
      <c r="C2500" s="9" t="str">
        <f>C2499</f>
        <v>Show</v>
      </c>
      <c r="D2500" s="23"/>
      <c r="E2500" s="13"/>
      <c r="G2500" s="78" t="s">
        <v>121</v>
      </c>
      <c r="H2500" s="75" t="s">
        <v>2704</v>
      </c>
    </row>
    <row r="2501" spans="2:8" hidden="1" outlineLevel="1">
      <c r="B2501" s="12" t="s">
        <v>2697</v>
      </c>
      <c r="C2501" s="9" t="str">
        <f>C2487</f>
        <v>Show</v>
      </c>
    </row>
    <row r="2502" spans="2:8" collapsed="1">
      <c r="B2502" s="76"/>
      <c r="C2502" s="7" t="s">
        <v>116</v>
      </c>
      <c r="D2502" s="23"/>
      <c r="E2502" s="137"/>
      <c r="F2502" s="12"/>
    </row>
    <row r="2503" spans="2:8">
      <c r="B2503" s="76"/>
      <c r="C2503" s="7" t="s">
        <v>116</v>
      </c>
      <c r="D2503" s="38" t="s">
        <v>551</v>
      </c>
      <c r="E2503" s="44"/>
      <c r="F2503" s="39"/>
      <c r="G2503" s="39"/>
      <c r="H2503" s="41"/>
    </row>
    <row r="2504" spans="2:8">
      <c r="B2504" s="12" t="s">
        <v>2697</v>
      </c>
      <c r="C2504" s="2" t="str">
        <f>C2505</f>
        <v>Show</v>
      </c>
      <c r="D2504" s="55" t="s">
        <v>1639</v>
      </c>
      <c r="E2504" s="55"/>
      <c r="F2504" s="57" t="s">
        <v>1637</v>
      </c>
      <c r="G2504" s="53"/>
      <c r="H2504" s="54"/>
    </row>
    <row r="2505" spans="2:8" hidden="1" outlineLevel="1">
      <c r="B2505" s="12" t="s">
        <v>2697</v>
      </c>
      <c r="C2505" s="2" t="str">
        <f>IF((COUNTIF(C2509:C2515,"Show")+COUNTIF(C2518:C2521,"Show")+COUNTIF(C2524:C2529,"Show"))&gt;0,"Show","Hide")</f>
        <v>Show</v>
      </c>
      <c r="D2505" s="23" t="s">
        <v>117</v>
      </c>
      <c r="E2505" s="13"/>
      <c r="G2505" s="13"/>
    </row>
    <row r="2506" spans="2:8" hidden="1" outlineLevel="1">
      <c r="B2506" s="12" t="s">
        <v>2697</v>
      </c>
      <c r="C2506" s="9" t="str">
        <f>C2505</f>
        <v>Show</v>
      </c>
      <c r="D2506" s="23"/>
      <c r="E2506" s="13">
        <v>1.1000000000000001</v>
      </c>
      <c r="F2506" s="11" t="s">
        <v>118</v>
      </c>
      <c r="G2506" s="13"/>
    </row>
    <row r="2507" spans="2:8" hidden="1" outlineLevel="1">
      <c r="B2507" s="12" t="s">
        <v>2697</v>
      </c>
      <c r="C2507" s="9" t="str">
        <f>C2506</f>
        <v>Show</v>
      </c>
      <c r="D2507" s="23"/>
      <c r="E2507" s="13"/>
      <c r="F2507" s="70" t="s">
        <v>119</v>
      </c>
      <c r="G2507" s="18" t="s">
        <v>677</v>
      </c>
    </row>
    <row r="2508" spans="2:8" hidden="1" outlineLevel="1">
      <c r="B2508" s="12" t="s">
        <v>2697</v>
      </c>
      <c r="C2508" s="9" t="str">
        <f>C2507</f>
        <v>Show</v>
      </c>
      <c r="D2508" s="23"/>
      <c r="E2508" s="13"/>
      <c r="F2508" s="70"/>
      <c r="G2508" s="78" t="s">
        <v>121</v>
      </c>
      <c r="H2508" s="79" t="s">
        <v>2301</v>
      </c>
    </row>
    <row r="2509" spans="2:8" hidden="1" outlineLevel="1">
      <c r="B2509" s="12" t="s">
        <v>2697</v>
      </c>
      <c r="C2509" s="9" t="str">
        <f>IF(COUNTIF(C2510:C2515,"Show")&gt;0,"Show","Hide")</f>
        <v>Show</v>
      </c>
      <c r="D2509" s="23"/>
      <c r="E2509" s="13">
        <v>1.2</v>
      </c>
      <c r="F2509" s="71" t="s">
        <v>131</v>
      </c>
      <c r="G2509" s="78"/>
    </row>
    <row r="2510" spans="2:8" hidden="1" outlineLevel="1">
      <c r="B2510" s="12" t="s">
        <v>2697</v>
      </c>
      <c r="C2510" s="9" t="str">
        <f>C682</f>
        <v>Show</v>
      </c>
      <c r="D2510" s="23"/>
      <c r="E2510" s="13"/>
      <c r="F2510" s="70" t="s">
        <v>119</v>
      </c>
      <c r="G2510" s="12" t="s">
        <v>3443</v>
      </c>
    </row>
    <row r="2511" spans="2:8" hidden="1" outlineLevel="1">
      <c r="B2511" s="12" t="s">
        <v>2697</v>
      </c>
      <c r="C2511" s="9" t="str">
        <f>C2510</f>
        <v>Show</v>
      </c>
      <c r="D2511" s="23"/>
      <c r="E2511" s="13"/>
      <c r="F2511" s="70"/>
      <c r="G2511" s="78" t="s">
        <v>121</v>
      </c>
      <c r="H2511" s="75" t="s">
        <v>2546</v>
      </c>
    </row>
    <row r="2512" spans="2:8" hidden="1" outlineLevel="1">
      <c r="B2512" s="12" t="s">
        <v>2697</v>
      </c>
      <c r="C2512" s="9" t="str">
        <f>C904</f>
        <v>Show</v>
      </c>
      <c r="D2512" s="23"/>
      <c r="E2512" s="13"/>
      <c r="F2512" s="70" t="str">
        <f>IF(C2511="Show","B.","A.")</f>
        <v>B.</v>
      </c>
      <c r="G2512" s="12" t="s">
        <v>3448</v>
      </c>
    </row>
    <row r="2513" spans="2:8" hidden="1" outlineLevel="1">
      <c r="B2513" s="12" t="s">
        <v>2697</v>
      </c>
      <c r="C2513" s="9" t="str">
        <f>C2512</f>
        <v>Show</v>
      </c>
      <c r="D2513" s="23"/>
      <c r="E2513" s="13"/>
      <c r="G2513" s="78" t="s">
        <v>121</v>
      </c>
      <c r="H2513" s="75" t="s">
        <v>2407</v>
      </c>
    </row>
    <row r="2514" spans="2:8" hidden="1" outlineLevel="1">
      <c r="B2514" s="12" t="s">
        <v>2697</v>
      </c>
      <c r="C2514" s="9" t="str">
        <f>C906</f>
        <v>Show</v>
      </c>
      <c r="D2514" s="23"/>
      <c r="E2514" s="13"/>
      <c r="F2514" s="70" t="str">
        <f>IF(AND(C2510="Show",C2512="Show"),"C.",IF(OR(C2510="Show",C2512="Show"),"B.","A."))</f>
        <v>C.</v>
      </c>
      <c r="G2514" s="12" t="s">
        <v>3416</v>
      </c>
    </row>
    <row r="2515" spans="2:8" hidden="1" outlineLevel="1">
      <c r="B2515" s="12" t="s">
        <v>2697</v>
      </c>
      <c r="C2515" s="9" t="str">
        <f>C2514</f>
        <v>Show</v>
      </c>
      <c r="D2515" s="23"/>
      <c r="E2515" s="13"/>
      <c r="F2515" s="70"/>
      <c r="G2515" s="78" t="s">
        <v>121</v>
      </c>
      <c r="H2515" s="75" t="s">
        <v>2356</v>
      </c>
    </row>
    <row r="2516" spans="2:8" hidden="1" outlineLevel="1">
      <c r="B2516" s="12" t="s">
        <v>2697</v>
      </c>
      <c r="C2516" s="9" t="str">
        <f>C2505</f>
        <v>Show</v>
      </c>
      <c r="D2516" s="23" t="s">
        <v>613</v>
      </c>
      <c r="E2516" s="13"/>
      <c r="G2516" s="13"/>
    </row>
    <row r="2517" spans="2:8" hidden="1" outlineLevel="1">
      <c r="B2517" s="12" t="s">
        <v>2697</v>
      </c>
      <c r="C2517" s="9" t="str">
        <f>C2505</f>
        <v>Show</v>
      </c>
      <c r="D2517" s="23"/>
      <c r="E2517" s="12" t="str">
        <f>IF(COUNTIF(C2518:C2521,"Show")&gt;0,"2.1 Product Requirements","No EGC Requirements")</f>
        <v>2.1 Product Requirements</v>
      </c>
      <c r="G2517" s="13"/>
    </row>
    <row r="2518" spans="2:8" hidden="1" outlineLevel="1">
      <c r="B2518" s="12" t="s">
        <v>2697</v>
      </c>
      <c r="C2518" s="9" t="str">
        <f>C1007</f>
        <v>Show</v>
      </c>
      <c r="D2518" s="23"/>
      <c r="E2518" s="12"/>
      <c r="F2518" s="70" t="s">
        <v>119</v>
      </c>
      <c r="G2518" s="12" t="s">
        <v>3443</v>
      </c>
    </row>
    <row r="2519" spans="2:8" hidden="1" outlineLevel="1">
      <c r="B2519" s="12" t="s">
        <v>2697</v>
      </c>
      <c r="C2519" s="9" t="str">
        <f>C2518</f>
        <v>Show</v>
      </c>
      <c r="D2519" s="23"/>
      <c r="E2519" s="12"/>
      <c r="G2519" s="30" t="s">
        <v>121</v>
      </c>
      <c r="H2519" s="75" t="s">
        <v>2548</v>
      </c>
    </row>
    <row r="2520" spans="2:8" hidden="1" outlineLevel="1">
      <c r="B2520" s="12" t="s">
        <v>2697</v>
      </c>
      <c r="C2520" s="9" t="str">
        <f>C1214</f>
        <v>Show</v>
      </c>
      <c r="D2520" s="23"/>
      <c r="E2520" s="12"/>
      <c r="F2520" s="70" t="str">
        <f>IF(C2519="Show","B.","A.")</f>
        <v>B.</v>
      </c>
      <c r="G2520" s="12" t="s">
        <v>3448</v>
      </c>
    </row>
    <row r="2521" spans="2:8" hidden="1" outlineLevel="1">
      <c r="B2521" s="12" t="s">
        <v>2697</v>
      </c>
      <c r="C2521" s="9" t="str">
        <f>C2520</f>
        <v>Show</v>
      </c>
      <c r="D2521" s="23"/>
      <c r="E2521" s="12"/>
      <c r="G2521" s="30" t="s">
        <v>121</v>
      </c>
      <c r="H2521" s="75" t="s">
        <v>2409</v>
      </c>
    </row>
    <row r="2522" spans="2:8" hidden="1" outlineLevel="1">
      <c r="B2522" s="12" t="s">
        <v>2697</v>
      </c>
      <c r="C2522" s="9" t="str">
        <f>C2505</f>
        <v>Show</v>
      </c>
      <c r="D2522" s="23" t="s">
        <v>187</v>
      </c>
      <c r="E2522" s="13"/>
      <c r="G2522" s="13"/>
    </row>
    <row r="2523" spans="2:8" hidden="1" outlineLevel="1">
      <c r="B2523" s="12" t="s">
        <v>2697</v>
      </c>
      <c r="C2523" s="9" t="str">
        <f>C2505</f>
        <v>Show</v>
      </c>
      <c r="D2523" s="23"/>
      <c r="E2523" s="12" t="str">
        <f>IF(COUNTIF(C2524:C2529,"Show")&gt;0,"3.1 Execution Requirements","No EGC Requirements")</f>
        <v>3.1 Execution Requirements</v>
      </c>
      <c r="G2523" s="13"/>
    </row>
    <row r="2524" spans="2:8" hidden="1" outlineLevel="1">
      <c r="B2524" s="12" t="s">
        <v>2697</v>
      </c>
      <c r="C2524" s="9" t="str">
        <f>C1338</f>
        <v>Show</v>
      </c>
      <c r="D2524" s="23"/>
      <c r="E2524" s="13"/>
      <c r="F2524" s="70" t="s">
        <v>119</v>
      </c>
      <c r="G2524" s="12" t="s">
        <v>3443</v>
      </c>
    </row>
    <row r="2525" spans="2:8" hidden="1" outlineLevel="1">
      <c r="B2525" s="12" t="s">
        <v>2697</v>
      </c>
      <c r="C2525" s="9" t="str">
        <f>C2524</f>
        <v>Show</v>
      </c>
      <c r="D2525" s="23"/>
      <c r="E2525" s="13"/>
      <c r="G2525" s="78" t="s">
        <v>121</v>
      </c>
      <c r="H2525" s="75" t="s">
        <v>2550</v>
      </c>
    </row>
    <row r="2526" spans="2:8" hidden="1" outlineLevel="1">
      <c r="B2526" s="12" t="s">
        <v>2697</v>
      </c>
      <c r="C2526" s="9" t="str">
        <f>C1606</f>
        <v>Show</v>
      </c>
      <c r="D2526" s="23"/>
      <c r="E2526" s="13"/>
      <c r="F2526" s="70" t="str">
        <f>IF(C2526="Show","B.","A.")</f>
        <v>B.</v>
      </c>
      <c r="G2526" s="12" t="s">
        <v>3448</v>
      </c>
    </row>
    <row r="2527" spans="2:8" ht="30" hidden="1" outlineLevel="1">
      <c r="B2527" s="12" t="s">
        <v>2697</v>
      </c>
      <c r="C2527" s="9" t="str">
        <f>C2526</f>
        <v>Show</v>
      </c>
      <c r="D2527" s="23"/>
      <c r="E2527" s="13"/>
      <c r="G2527" s="78" t="s">
        <v>121</v>
      </c>
      <c r="H2527" s="75" t="s">
        <v>2762</v>
      </c>
    </row>
    <row r="2528" spans="2:8" hidden="1" outlineLevel="1">
      <c r="B2528" s="12" t="s">
        <v>2697</v>
      </c>
      <c r="C2528" s="9" t="str">
        <f>C1614</f>
        <v>Show</v>
      </c>
      <c r="D2528" s="23"/>
      <c r="E2528" s="13"/>
      <c r="F2528" s="70" t="str">
        <f>IF(AND(C2525="Show",C2527="Show"),"C.",IF(OR(C2525="Show",C2527="Show"),"B.","A."))</f>
        <v>C.</v>
      </c>
      <c r="G2528" s="12" t="s">
        <v>3416</v>
      </c>
    </row>
    <row r="2529" spans="2:8" ht="30" hidden="1" outlineLevel="1">
      <c r="B2529" s="12" t="s">
        <v>2697</v>
      </c>
      <c r="C2529" s="9" t="str">
        <f>C2528</f>
        <v>Show</v>
      </c>
      <c r="D2529" s="23"/>
      <c r="E2529" s="13"/>
      <c r="G2529" s="78" t="s">
        <v>121</v>
      </c>
      <c r="H2529" s="75" t="s">
        <v>2763</v>
      </c>
    </row>
    <row r="2530" spans="2:8" hidden="1" outlineLevel="1">
      <c r="B2530" s="12" t="s">
        <v>2697</v>
      </c>
      <c r="C2530" s="9" t="str">
        <f>C2505</f>
        <v>Show</v>
      </c>
    </row>
    <row r="2531" spans="2:8" collapsed="1">
      <c r="B2531" s="23"/>
      <c r="C2531" s="2" t="str">
        <f>C2532</f>
        <v>Show</v>
      </c>
      <c r="D2531" s="55" t="s">
        <v>1640</v>
      </c>
      <c r="E2531" s="55"/>
      <c r="F2531" s="57" t="s">
        <v>1638</v>
      </c>
      <c r="G2531" s="53"/>
      <c r="H2531" s="54"/>
    </row>
    <row r="2532" spans="2:8" hidden="1" outlineLevel="1">
      <c r="B2532" s="76"/>
      <c r="C2532" s="2" t="str">
        <f>IF((COUNTIF(C2536:C2544,"Show")+COUNTIF(C2547:C2556,"Show")+COUNTIF(C2559:C2566,"Show"))&gt;0,"Show","Hide")</f>
        <v>Show</v>
      </c>
      <c r="D2532" s="23" t="s">
        <v>117</v>
      </c>
      <c r="E2532" s="13"/>
      <c r="G2532" s="13"/>
    </row>
    <row r="2533" spans="2:8" hidden="1" outlineLevel="1">
      <c r="B2533" s="76"/>
      <c r="C2533" s="9" t="str">
        <f>C2532</f>
        <v>Show</v>
      </c>
      <c r="D2533" s="23"/>
      <c r="E2533" s="13">
        <v>1.1000000000000001</v>
      </c>
      <c r="F2533" s="11" t="s">
        <v>118</v>
      </c>
      <c r="G2533" s="13"/>
    </row>
    <row r="2534" spans="2:8" hidden="1" outlineLevel="1">
      <c r="B2534" s="76"/>
      <c r="C2534" s="9" t="str">
        <f>C2533</f>
        <v>Show</v>
      </c>
      <c r="D2534" s="23"/>
      <c r="E2534" s="13"/>
      <c r="F2534" s="70" t="s">
        <v>119</v>
      </c>
      <c r="G2534" s="18" t="s">
        <v>677</v>
      </c>
    </row>
    <row r="2535" spans="2:8" hidden="1" outlineLevel="1">
      <c r="B2535" s="76"/>
      <c r="C2535" s="9" t="str">
        <f>C2534</f>
        <v>Show</v>
      </c>
      <c r="D2535" s="23"/>
      <c r="E2535" s="13"/>
      <c r="F2535" s="70"/>
      <c r="G2535" s="78" t="s">
        <v>121</v>
      </c>
      <c r="H2535" s="79" t="s">
        <v>2301</v>
      </c>
    </row>
    <row r="2536" spans="2:8" hidden="1" outlineLevel="1">
      <c r="B2536" s="76"/>
      <c r="C2536" s="9" t="str">
        <f>IF(COUNTIF(C2537:C2544,"Show")&gt;0,"Show","Hide")</f>
        <v>Show</v>
      </c>
      <c r="D2536" s="23"/>
      <c r="E2536" s="13">
        <v>1.2</v>
      </c>
      <c r="F2536" s="71" t="s">
        <v>131</v>
      </c>
      <c r="G2536" s="78"/>
    </row>
    <row r="2537" spans="2:8" hidden="1" outlineLevel="1">
      <c r="B2537" s="76"/>
      <c r="C2537" s="9" t="str">
        <f>$D$5964</f>
        <v>Show</v>
      </c>
      <c r="D2537" s="23"/>
      <c r="E2537" s="13"/>
      <c r="F2537" s="70" t="s">
        <v>119</v>
      </c>
      <c r="G2537" s="12" t="s">
        <v>3410</v>
      </c>
    </row>
    <row r="2538" spans="2:8" hidden="1" outlineLevel="1">
      <c r="B2538" s="76"/>
      <c r="C2538" s="9" t="str">
        <f>C2537</f>
        <v>Show</v>
      </c>
      <c r="D2538" s="23"/>
      <c r="E2538" s="13"/>
      <c r="F2538" s="70"/>
      <c r="G2538" s="78" t="s">
        <v>121</v>
      </c>
      <c r="H2538" s="75" t="s">
        <v>2765</v>
      </c>
    </row>
    <row r="2539" spans="2:8" hidden="1" outlineLevel="1">
      <c r="B2539" s="76"/>
      <c r="C2539" s="9" t="str">
        <f>$D$5965</f>
        <v>Show</v>
      </c>
      <c r="D2539" s="23"/>
      <c r="E2539" s="13"/>
      <c r="F2539" s="70" t="str">
        <f>CHAR(65+(COUNTIF(C$2537:C2538,"Show")/2))&amp;"."</f>
        <v>B.</v>
      </c>
      <c r="G2539" s="12" t="s">
        <v>3414</v>
      </c>
    </row>
    <row r="2540" spans="2:8" hidden="1" outlineLevel="1">
      <c r="B2540" s="76"/>
      <c r="C2540" s="9" t="str">
        <f>C2539</f>
        <v>Show</v>
      </c>
      <c r="D2540" s="23"/>
      <c r="E2540" s="13"/>
      <c r="F2540" s="70"/>
      <c r="G2540" s="78" t="s">
        <v>121</v>
      </c>
      <c r="H2540" s="75" t="s">
        <v>2350</v>
      </c>
    </row>
    <row r="2541" spans="2:8" hidden="1" outlineLevel="1">
      <c r="B2541" s="76"/>
      <c r="C2541" s="9" t="str">
        <f>$D$5966</f>
        <v>Show</v>
      </c>
      <c r="D2541" s="23"/>
      <c r="E2541" s="13"/>
      <c r="F2541" s="70" t="str">
        <f>CHAR(65+(COUNTIF(C$2537:C2540,"Show")/2))&amp;"."</f>
        <v>C.</v>
      </c>
      <c r="G2541" s="12" t="s">
        <v>3449</v>
      </c>
    </row>
    <row r="2542" spans="2:8" hidden="1" outlineLevel="1">
      <c r="B2542" s="76"/>
      <c r="C2542" s="9" t="str">
        <f>C2541</f>
        <v>Show</v>
      </c>
      <c r="D2542" s="23"/>
      <c r="E2542" s="13"/>
      <c r="F2542" s="70"/>
      <c r="G2542" s="78" t="s">
        <v>121</v>
      </c>
      <c r="H2542" s="75" t="s">
        <v>2336</v>
      </c>
    </row>
    <row r="2543" spans="2:8" hidden="1" outlineLevel="1">
      <c r="B2543" s="76"/>
      <c r="C2543" s="9" t="str">
        <f>$D$5976</f>
        <v>Show</v>
      </c>
      <c r="D2543" s="23"/>
      <c r="E2543" s="13"/>
      <c r="F2543" s="70" t="str">
        <f>CHAR(65+(COUNTIF(C$2537:C2542,"Show")/2))&amp;"."</f>
        <v>D.</v>
      </c>
      <c r="G2543" s="12" t="s">
        <v>3450</v>
      </c>
    </row>
    <row r="2544" spans="2:8" hidden="1" outlineLevel="1">
      <c r="B2544" s="76"/>
      <c r="C2544" s="9" t="str">
        <f>C2543</f>
        <v>Show</v>
      </c>
      <c r="D2544" s="23"/>
      <c r="E2544" s="13"/>
      <c r="F2544" s="70"/>
      <c r="G2544" s="78" t="s">
        <v>121</v>
      </c>
      <c r="H2544" s="75" t="s">
        <v>2529</v>
      </c>
    </row>
    <row r="2545" spans="2:8" hidden="1" outlineLevel="1">
      <c r="B2545" s="76"/>
      <c r="C2545" s="9" t="str">
        <f>C2532</f>
        <v>Show</v>
      </c>
      <c r="D2545" s="23" t="s">
        <v>613</v>
      </c>
      <c r="E2545" s="13"/>
      <c r="G2545" s="13"/>
    </row>
    <row r="2546" spans="2:8" hidden="1" outlineLevel="1">
      <c r="B2546" s="76"/>
      <c r="C2546" s="9" t="str">
        <f>C2532</f>
        <v>Show</v>
      </c>
      <c r="D2546" s="23"/>
      <c r="E2546" s="12" t="str">
        <f>IF(COUNTIF(C2547:C2556,"Show")&gt;0,"2.1 Product Requirements","No EGC Requirements")</f>
        <v>2.1 Product Requirements</v>
      </c>
      <c r="G2546" s="13"/>
    </row>
    <row r="2547" spans="2:8" hidden="1" outlineLevel="1">
      <c r="B2547" s="76"/>
      <c r="C2547" s="9" t="str">
        <f>$E$5964</f>
        <v>Show</v>
      </c>
      <c r="D2547" s="23"/>
      <c r="E2547" s="12"/>
      <c r="F2547" s="70" t="s">
        <v>119</v>
      </c>
      <c r="G2547" s="12" t="s">
        <v>3410</v>
      </c>
    </row>
    <row r="2548" spans="2:8" hidden="1" outlineLevel="1">
      <c r="B2548" s="76"/>
      <c r="C2548" s="9" t="str">
        <f>C2547</f>
        <v>Show</v>
      </c>
      <c r="D2548" s="23"/>
      <c r="E2548" s="12"/>
      <c r="F2548" s="70"/>
      <c r="G2548" s="30" t="s">
        <v>121</v>
      </c>
      <c r="H2548" s="75" t="s">
        <v>2337</v>
      </c>
    </row>
    <row r="2549" spans="2:8" hidden="1" outlineLevel="1">
      <c r="B2549" s="76"/>
      <c r="C2549" s="9" t="str">
        <f>$E$5965</f>
        <v>Show</v>
      </c>
      <c r="D2549" s="23"/>
      <c r="E2549" s="12"/>
      <c r="F2549" s="70" t="str">
        <f>CHAR(65+(COUNTIF(C$2547:C2548,"Show")/2))&amp;"."</f>
        <v>B.</v>
      </c>
      <c r="G2549" s="12" t="s">
        <v>3414</v>
      </c>
    </row>
    <row r="2550" spans="2:8" hidden="1" outlineLevel="1">
      <c r="B2550" s="76"/>
      <c r="C2550" s="9" t="str">
        <f>C2549</f>
        <v>Show</v>
      </c>
      <c r="D2550" s="23"/>
      <c r="E2550" s="12"/>
      <c r="F2550" s="70"/>
      <c r="G2550" s="30" t="s">
        <v>121</v>
      </c>
      <c r="H2550" s="75" t="s">
        <v>2351</v>
      </c>
    </row>
    <row r="2551" spans="2:8" hidden="1" outlineLevel="1">
      <c r="B2551" s="76"/>
      <c r="C2551" s="9" t="str">
        <f>$E$5966</f>
        <v>Show</v>
      </c>
      <c r="D2551" s="23"/>
      <c r="E2551" s="12"/>
      <c r="F2551" s="70" t="str">
        <f>CHAR(65+(COUNTIF(C$2547:C2550,"Show")/2))&amp;"."</f>
        <v>C.</v>
      </c>
      <c r="G2551" s="12" t="s">
        <v>3449</v>
      </c>
    </row>
    <row r="2552" spans="2:8" hidden="1" outlineLevel="1">
      <c r="B2552" s="76"/>
      <c r="C2552" s="9" t="str">
        <f>C2551</f>
        <v>Show</v>
      </c>
      <c r="D2552" s="23"/>
      <c r="E2552" s="12"/>
      <c r="F2552" s="70"/>
      <c r="G2552" s="30" t="s">
        <v>121</v>
      </c>
      <c r="H2552" s="75" t="s">
        <v>2338</v>
      </c>
    </row>
    <row r="2553" spans="2:8" hidden="1" outlineLevel="1">
      <c r="B2553" s="76"/>
      <c r="C2553" s="9" t="str">
        <f>$E$5973</f>
        <v>Show</v>
      </c>
      <c r="D2553" s="23"/>
      <c r="E2553" s="12"/>
      <c r="F2553" s="70" t="str">
        <f>CHAR(65+(COUNTIF(C$2547:C2552,"Show")/2))&amp;"."</f>
        <v>D.</v>
      </c>
      <c r="G2553" s="12" t="s">
        <v>3431</v>
      </c>
    </row>
    <row r="2554" spans="2:8" hidden="1" outlineLevel="1">
      <c r="B2554" s="76"/>
      <c r="C2554" s="9" t="str">
        <f>C2553</f>
        <v>Show</v>
      </c>
      <c r="D2554" s="23"/>
      <c r="E2554" s="12"/>
      <c r="F2554" s="70"/>
      <c r="G2554" s="30" t="s">
        <v>121</v>
      </c>
      <c r="H2554" s="75" t="s">
        <v>2408</v>
      </c>
    </row>
    <row r="2555" spans="2:8" hidden="1" outlineLevel="1">
      <c r="B2555" s="76"/>
      <c r="C2555" s="9" t="str">
        <f>$E$5976</f>
        <v>Show</v>
      </c>
      <c r="D2555" s="23"/>
      <c r="E2555" s="12"/>
      <c r="F2555" s="70" t="str">
        <f>CHAR(65+(COUNTIF(C$2547:C2554,"Show")/2))&amp;"."</f>
        <v>E.</v>
      </c>
      <c r="G2555" s="12" t="s">
        <v>3450</v>
      </c>
    </row>
    <row r="2556" spans="2:8" hidden="1" outlineLevel="1">
      <c r="B2556" s="76"/>
      <c r="C2556" s="9" t="str">
        <f>C2555</f>
        <v>Show</v>
      </c>
      <c r="D2556" s="23"/>
      <c r="E2556" s="12"/>
      <c r="G2556" s="30" t="s">
        <v>121</v>
      </c>
      <c r="H2556" s="75" t="s">
        <v>2530</v>
      </c>
    </row>
    <row r="2557" spans="2:8" hidden="1" outlineLevel="1">
      <c r="B2557" s="76"/>
      <c r="C2557" s="9" t="str">
        <f>C2532</f>
        <v>Show</v>
      </c>
      <c r="D2557" s="23" t="s">
        <v>187</v>
      </c>
      <c r="E2557" s="13"/>
      <c r="G2557" s="13"/>
    </row>
    <row r="2558" spans="2:8" hidden="1" outlineLevel="1">
      <c r="B2558" s="76"/>
      <c r="C2558" s="9" t="str">
        <f>C2532</f>
        <v>Show</v>
      </c>
      <c r="D2558" s="23"/>
      <c r="E2558" s="12" t="str">
        <f>IF(COUNTIF(C2559:C2566,"Show")&gt;0,"3.1 Execution Requirements","No EGC Requirements")</f>
        <v>3.1 Execution Requirements</v>
      </c>
      <c r="G2558" s="13"/>
    </row>
    <row r="2559" spans="2:8" hidden="1" outlineLevel="1">
      <c r="B2559" s="76"/>
      <c r="C2559" s="9" t="str">
        <f>$F$5964</f>
        <v>Show</v>
      </c>
      <c r="D2559" s="23"/>
      <c r="E2559" s="13"/>
      <c r="F2559" s="70" t="s">
        <v>119</v>
      </c>
      <c r="G2559" s="12" t="s">
        <v>3410</v>
      </c>
    </row>
    <row r="2560" spans="2:8" ht="30" hidden="1" outlineLevel="1">
      <c r="B2560" s="76"/>
      <c r="C2560" s="9" t="str">
        <f>C2559</f>
        <v>Show</v>
      </c>
      <c r="D2560" s="23"/>
      <c r="E2560" s="13"/>
      <c r="F2560" s="70"/>
      <c r="G2560" s="30" t="s">
        <v>121</v>
      </c>
      <c r="H2560" s="75" t="s">
        <v>2339</v>
      </c>
    </row>
    <row r="2561" spans="2:8" hidden="1" outlineLevel="1">
      <c r="B2561" s="76"/>
      <c r="C2561" s="9" t="str">
        <f>$F$5965</f>
        <v>Show</v>
      </c>
      <c r="D2561" s="23"/>
      <c r="E2561" s="13"/>
      <c r="F2561" s="70" t="str">
        <f>CHAR(65+(COUNTIF(C$2559:C2560,"Show")/2))&amp;"."</f>
        <v>B.</v>
      </c>
      <c r="G2561" s="12" t="s">
        <v>3414</v>
      </c>
    </row>
    <row r="2562" spans="2:8" ht="30" hidden="1" outlineLevel="1">
      <c r="B2562" s="76"/>
      <c r="C2562" s="9" t="str">
        <f>C2561</f>
        <v>Show</v>
      </c>
      <c r="D2562" s="23"/>
      <c r="E2562" s="13"/>
      <c r="F2562" s="70"/>
      <c r="G2562" s="30" t="s">
        <v>121</v>
      </c>
      <c r="H2562" s="75" t="s">
        <v>2352</v>
      </c>
    </row>
    <row r="2563" spans="2:8" hidden="1" outlineLevel="1">
      <c r="B2563" s="76"/>
      <c r="C2563" s="9" t="str">
        <f>$F$5966</f>
        <v>Show</v>
      </c>
      <c r="D2563" s="23"/>
      <c r="E2563" s="13"/>
      <c r="F2563" s="70" t="str">
        <f>CHAR(65+(COUNTIF(C$2559:C2562,"Show")/2))&amp;"."</f>
        <v>C.</v>
      </c>
      <c r="G2563" s="12" t="s">
        <v>3449</v>
      </c>
    </row>
    <row r="2564" spans="2:8" hidden="1" outlineLevel="1">
      <c r="B2564" s="76"/>
      <c r="C2564" s="9" t="str">
        <f>C2563</f>
        <v>Show</v>
      </c>
      <c r="D2564" s="23"/>
      <c r="E2564" s="13"/>
      <c r="F2564" s="70"/>
      <c r="G2564" s="30" t="s">
        <v>121</v>
      </c>
      <c r="H2564" s="75" t="s">
        <v>2340</v>
      </c>
    </row>
    <row r="2565" spans="2:8" hidden="1" outlineLevel="1">
      <c r="B2565" s="76"/>
      <c r="C2565" s="9" t="str">
        <f>$F$5976</f>
        <v>Show</v>
      </c>
      <c r="D2565" s="23"/>
      <c r="E2565" s="13"/>
      <c r="F2565" s="70" t="str">
        <f>CHAR(65+(COUNTIF(C$2559:C2564,"Show")/2))&amp;"."</f>
        <v>D.</v>
      </c>
      <c r="G2565" s="12" t="s">
        <v>3450</v>
      </c>
    </row>
    <row r="2566" spans="2:8" hidden="1" outlineLevel="1">
      <c r="B2566" s="76"/>
      <c r="C2566" s="9" t="str">
        <f>C2565</f>
        <v>Show</v>
      </c>
      <c r="D2566" s="23"/>
      <c r="E2566" s="13"/>
      <c r="G2566" s="78" t="s">
        <v>121</v>
      </c>
      <c r="H2566" s="75" t="s">
        <v>2766</v>
      </c>
    </row>
    <row r="2567" spans="2:8" hidden="1" outlineLevel="1">
      <c r="B2567" s="76"/>
      <c r="C2567" s="9" t="str">
        <f>C2532</f>
        <v>Show</v>
      </c>
    </row>
    <row r="2568" spans="2:8" collapsed="1">
      <c r="B2568" s="23"/>
      <c r="C2568" s="2" t="str">
        <f>C2569</f>
        <v>Show</v>
      </c>
      <c r="D2568" s="60" t="s">
        <v>266</v>
      </c>
      <c r="E2568" s="60"/>
      <c r="F2568" s="56" t="s">
        <v>267</v>
      </c>
      <c r="G2568" s="59"/>
      <c r="H2568" s="58"/>
    </row>
    <row r="2569" spans="2:8" hidden="1" outlineLevel="1">
      <c r="B2569" s="76"/>
      <c r="C2569" s="2" t="str">
        <f>IF((COUNTIF(C2573:C2585,"Show")+COUNTIF(C2588:C2601,"Show")+COUNTIF(C2604:C2615,"Show"))&gt;0,"Show","Hide")</f>
        <v>Show</v>
      </c>
      <c r="D2569" s="23" t="s">
        <v>117</v>
      </c>
      <c r="E2569" s="13"/>
      <c r="G2569" s="13"/>
    </row>
    <row r="2570" spans="2:8" hidden="1" outlineLevel="1">
      <c r="B2570" s="76"/>
      <c r="C2570" s="9" t="str">
        <f>C2569</f>
        <v>Show</v>
      </c>
      <c r="D2570" s="23"/>
      <c r="E2570" s="13">
        <v>1.1000000000000001</v>
      </c>
      <c r="F2570" s="11" t="s">
        <v>118</v>
      </c>
      <c r="G2570" s="13"/>
    </row>
    <row r="2571" spans="2:8" hidden="1" outlineLevel="1">
      <c r="B2571" s="76"/>
      <c r="C2571" s="9" t="str">
        <f>C2570</f>
        <v>Show</v>
      </c>
      <c r="D2571" s="23"/>
      <c r="E2571" s="13"/>
      <c r="F2571" s="70" t="s">
        <v>119</v>
      </c>
      <c r="G2571" s="18" t="s">
        <v>677</v>
      </c>
    </row>
    <row r="2572" spans="2:8" hidden="1" outlineLevel="1">
      <c r="B2572" s="76"/>
      <c r="C2572" s="9" t="str">
        <f>C2571</f>
        <v>Show</v>
      </c>
      <c r="D2572" s="23"/>
      <c r="E2572" s="13"/>
      <c r="F2572" s="70"/>
      <c r="G2572" s="78" t="s">
        <v>121</v>
      </c>
      <c r="H2572" s="79" t="s">
        <v>2301</v>
      </c>
    </row>
    <row r="2573" spans="2:8" hidden="1" outlineLevel="1">
      <c r="B2573" s="76"/>
      <c r="C2573" s="9" t="str">
        <f>IF(COUNTIF(C2574:C2585,"Show")&gt;0,"Show","Hide")</f>
        <v>Show</v>
      </c>
      <c r="D2573" s="23"/>
      <c r="E2573" s="13">
        <v>1.2</v>
      </c>
      <c r="F2573" s="71" t="s">
        <v>131</v>
      </c>
      <c r="G2573" s="78"/>
    </row>
    <row r="2574" spans="2:8" hidden="1" outlineLevel="1">
      <c r="B2574" s="76"/>
      <c r="C2574" s="9" t="str">
        <f>$D$5954</f>
        <v>Show</v>
      </c>
      <c r="D2574" s="23"/>
      <c r="E2574" s="13"/>
      <c r="F2574" s="70" t="s">
        <v>119</v>
      </c>
      <c r="G2574" s="12" t="s">
        <v>3439</v>
      </c>
    </row>
    <row r="2575" spans="2:8" hidden="1" outlineLevel="1">
      <c r="B2575" s="76"/>
      <c r="C2575" s="9" t="str">
        <f>C2574</f>
        <v>Show</v>
      </c>
      <c r="D2575" s="23"/>
      <c r="E2575" s="13"/>
      <c r="F2575" s="70"/>
      <c r="G2575" s="78" t="s">
        <v>121</v>
      </c>
      <c r="H2575" s="75" t="s">
        <v>2767</v>
      </c>
    </row>
    <row r="2576" spans="2:8" hidden="1" outlineLevel="1">
      <c r="B2576" s="76"/>
      <c r="C2576" s="9" t="str">
        <f>$D$5964</f>
        <v>Show</v>
      </c>
      <c r="D2576" s="23"/>
      <c r="E2576" s="13"/>
      <c r="F2576" s="70" t="s">
        <v>125</v>
      </c>
      <c r="G2576" s="12" t="s">
        <v>3410</v>
      </c>
    </row>
    <row r="2577" spans="2:8" hidden="1" outlineLevel="1">
      <c r="B2577" s="76"/>
      <c r="C2577" s="9" t="str">
        <f>C2576</f>
        <v>Show</v>
      </c>
      <c r="D2577" s="23"/>
      <c r="E2577" s="13"/>
      <c r="F2577" s="70"/>
      <c r="G2577" s="78" t="s">
        <v>121</v>
      </c>
      <c r="H2577" s="75" t="s">
        <v>2765</v>
      </c>
    </row>
    <row r="2578" spans="2:8" hidden="1" outlineLevel="1">
      <c r="B2578" s="76"/>
      <c r="C2578" s="9" t="str">
        <f>$D$5965</f>
        <v>Show</v>
      </c>
      <c r="D2578" s="23"/>
      <c r="E2578" s="13"/>
      <c r="F2578" s="70" t="s">
        <v>158</v>
      </c>
      <c r="G2578" s="12" t="s">
        <v>3414</v>
      </c>
    </row>
    <row r="2579" spans="2:8" hidden="1" outlineLevel="1">
      <c r="B2579" s="76"/>
      <c r="C2579" s="9" t="str">
        <f>C2578</f>
        <v>Show</v>
      </c>
      <c r="D2579" s="23"/>
      <c r="E2579" s="13"/>
      <c r="G2579" s="78" t="s">
        <v>121</v>
      </c>
      <c r="H2579" s="75" t="s">
        <v>2350</v>
      </c>
    </row>
    <row r="2580" spans="2:8" hidden="1" outlineLevel="1">
      <c r="B2580" s="76"/>
      <c r="C2580" s="9" t="str">
        <f>$D$5966</f>
        <v>Show</v>
      </c>
      <c r="D2580" s="23"/>
      <c r="E2580" s="13"/>
      <c r="F2580" s="70" t="s">
        <v>159</v>
      </c>
      <c r="G2580" s="12" t="s">
        <v>3449</v>
      </c>
    </row>
    <row r="2581" spans="2:8" hidden="1" outlineLevel="1">
      <c r="B2581" s="76"/>
      <c r="C2581" s="9" t="str">
        <f>C2580</f>
        <v>Show</v>
      </c>
      <c r="D2581" s="23"/>
      <c r="E2581" s="13"/>
      <c r="F2581" s="70"/>
      <c r="G2581" s="78" t="s">
        <v>121</v>
      </c>
      <c r="H2581" s="75" t="s">
        <v>2336</v>
      </c>
    </row>
    <row r="2582" spans="2:8" hidden="1" outlineLevel="1">
      <c r="B2582" s="76"/>
      <c r="C2582" s="9" t="str">
        <f>$D$5974</f>
        <v>Show</v>
      </c>
      <c r="D2582" s="23"/>
      <c r="E2582" s="13"/>
      <c r="F2582" s="70" t="s">
        <v>621</v>
      </c>
      <c r="G2582" s="12" t="s">
        <v>3407</v>
      </c>
    </row>
    <row r="2583" spans="2:8" hidden="1" outlineLevel="1">
      <c r="B2583" s="76"/>
      <c r="C2583" s="9" t="str">
        <f>C2582</f>
        <v>Show</v>
      </c>
      <c r="D2583" s="23"/>
      <c r="E2583" s="13"/>
      <c r="F2583" s="70"/>
      <c r="G2583" s="78" t="s">
        <v>121</v>
      </c>
      <c r="H2583" s="75" t="s">
        <v>2323</v>
      </c>
    </row>
    <row r="2584" spans="2:8" hidden="1" outlineLevel="1">
      <c r="B2584" s="76"/>
      <c r="C2584" s="9" t="str">
        <f>$D$5976</f>
        <v>Show</v>
      </c>
      <c r="D2584" s="23"/>
      <c r="E2584" s="13"/>
      <c r="F2584" s="70" t="s">
        <v>622</v>
      </c>
      <c r="G2584" s="12" t="s">
        <v>3450</v>
      </c>
    </row>
    <row r="2585" spans="2:8" hidden="1" outlineLevel="1">
      <c r="B2585" s="76"/>
      <c r="C2585" s="9" t="str">
        <f>C2584</f>
        <v>Show</v>
      </c>
      <c r="D2585" s="23"/>
      <c r="E2585" s="13"/>
      <c r="F2585" s="70"/>
      <c r="G2585" s="78" t="s">
        <v>121</v>
      </c>
      <c r="H2585" s="75" t="s">
        <v>2529</v>
      </c>
    </row>
    <row r="2586" spans="2:8" hidden="1" outlineLevel="1">
      <c r="B2586" s="76"/>
      <c r="C2586" s="9" t="str">
        <f>C2569</f>
        <v>Show</v>
      </c>
      <c r="D2586" s="23" t="s">
        <v>613</v>
      </c>
      <c r="E2586" s="13"/>
      <c r="G2586" s="13"/>
    </row>
    <row r="2587" spans="2:8" hidden="1" outlineLevel="1">
      <c r="B2587" s="76"/>
      <c r="C2587" s="9" t="str">
        <f>C2569</f>
        <v>Show</v>
      </c>
      <c r="D2587" s="23"/>
      <c r="E2587" s="12" t="str">
        <f>IF(COUNTIF(C2588:C2601,"Show")&gt;0,"2.1 Product Requirements","No EGC Requirements")</f>
        <v>2.1 Product Requirements</v>
      </c>
      <c r="G2587" s="13"/>
    </row>
    <row r="2588" spans="2:8" hidden="1" outlineLevel="1">
      <c r="B2588" s="76"/>
      <c r="C2588" s="9" t="str">
        <f>$E$5954</f>
        <v>Show</v>
      </c>
      <c r="D2588" s="23"/>
      <c r="E2588" s="12"/>
      <c r="F2588" s="70" t="s">
        <v>119</v>
      </c>
      <c r="G2588" s="12" t="s">
        <v>3439</v>
      </c>
    </row>
    <row r="2589" spans="2:8" hidden="1" outlineLevel="1">
      <c r="B2589" s="76"/>
      <c r="C2589" s="9" t="str">
        <f>C2588</f>
        <v>Show</v>
      </c>
      <c r="D2589" s="23"/>
      <c r="E2589" s="12"/>
      <c r="F2589" s="70"/>
      <c r="G2589" s="30" t="s">
        <v>121</v>
      </c>
      <c r="H2589" s="75" t="s">
        <v>2549</v>
      </c>
    </row>
    <row r="2590" spans="2:8" hidden="1" outlineLevel="1">
      <c r="B2590" s="76"/>
      <c r="C2590" s="9" t="str">
        <f>$E$5964</f>
        <v>Show</v>
      </c>
      <c r="D2590" s="23"/>
      <c r="E2590" s="12"/>
      <c r="F2590" s="70" t="s">
        <v>125</v>
      </c>
      <c r="G2590" s="12" t="s">
        <v>3410</v>
      </c>
    </row>
    <row r="2591" spans="2:8" hidden="1" outlineLevel="1">
      <c r="B2591" s="76"/>
      <c r="C2591" s="9" t="str">
        <f>C2590</f>
        <v>Show</v>
      </c>
      <c r="D2591" s="23"/>
      <c r="E2591" s="12"/>
      <c r="F2591" s="70"/>
      <c r="G2591" s="30" t="s">
        <v>121</v>
      </c>
      <c r="H2591" s="75" t="s">
        <v>2337</v>
      </c>
    </row>
    <row r="2592" spans="2:8" hidden="1" outlineLevel="1">
      <c r="B2592" s="76"/>
      <c r="C2592" s="9" t="str">
        <f>$E$5965</f>
        <v>Show</v>
      </c>
      <c r="D2592" s="23"/>
      <c r="E2592" s="12"/>
      <c r="F2592" s="70" t="s">
        <v>158</v>
      </c>
      <c r="G2592" s="12" t="s">
        <v>3414</v>
      </c>
    </row>
    <row r="2593" spans="2:8" hidden="1" outlineLevel="1">
      <c r="B2593" s="76"/>
      <c r="C2593" s="9" t="str">
        <f>C2592</f>
        <v>Show</v>
      </c>
      <c r="D2593" s="23"/>
      <c r="E2593" s="12"/>
      <c r="G2593" s="30" t="s">
        <v>121</v>
      </c>
      <c r="H2593" s="75" t="s">
        <v>2351</v>
      </c>
    </row>
    <row r="2594" spans="2:8" hidden="1" outlineLevel="1">
      <c r="B2594" s="76"/>
      <c r="C2594" s="9" t="str">
        <f>$E$5966</f>
        <v>Show</v>
      </c>
      <c r="D2594" s="23"/>
      <c r="E2594" s="12"/>
      <c r="F2594" s="70" t="s">
        <v>159</v>
      </c>
      <c r="G2594" s="12" t="s">
        <v>3449</v>
      </c>
    </row>
    <row r="2595" spans="2:8" hidden="1" outlineLevel="1">
      <c r="B2595" s="76"/>
      <c r="C2595" s="9" t="str">
        <f>C2594</f>
        <v>Show</v>
      </c>
      <c r="D2595" s="23"/>
      <c r="E2595" s="12"/>
      <c r="F2595" s="70"/>
      <c r="G2595" s="30" t="s">
        <v>121</v>
      </c>
      <c r="H2595" s="75" t="s">
        <v>2338</v>
      </c>
    </row>
    <row r="2596" spans="2:8" hidden="1" outlineLevel="1">
      <c r="B2596" s="76"/>
      <c r="C2596" s="9" t="str">
        <f>$E$5973</f>
        <v>Show</v>
      </c>
      <c r="D2596" s="23"/>
      <c r="E2596" s="12"/>
      <c r="F2596" s="70" t="s">
        <v>621</v>
      </c>
      <c r="G2596" s="12" t="s">
        <v>3431</v>
      </c>
    </row>
    <row r="2597" spans="2:8" hidden="1" outlineLevel="1">
      <c r="B2597" s="76"/>
      <c r="C2597" s="9" t="str">
        <f>C2596</f>
        <v>Show</v>
      </c>
      <c r="D2597" s="23"/>
      <c r="E2597" s="12"/>
      <c r="F2597" s="70"/>
      <c r="G2597" s="30" t="s">
        <v>121</v>
      </c>
      <c r="H2597" s="75" t="s">
        <v>2408</v>
      </c>
    </row>
    <row r="2598" spans="2:8" hidden="1" outlineLevel="1">
      <c r="B2598" s="76"/>
      <c r="C2598" s="9" t="str">
        <f>$E$5974</f>
        <v>Show</v>
      </c>
      <c r="D2598" s="23"/>
      <c r="E2598" s="12"/>
      <c r="F2598" s="70" t="s">
        <v>622</v>
      </c>
      <c r="G2598" s="12" t="s">
        <v>3407</v>
      </c>
    </row>
    <row r="2599" spans="2:8" hidden="1" outlineLevel="1">
      <c r="B2599" s="76"/>
      <c r="C2599" s="9" t="str">
        <f>C2598</f>
        <v>Show</v>
      </c>
      <c r="D2599" s="23"/>
      <c r="E2599" s="12"/>
      <c r="F2599" s="70"/>
      <c r="G2599" s="30" t="s">
        <v>121</v>
      </c>
      <c r="H2599" s="75" t="s">
        <v>2698</v>
      </c>
    </row>
    <row r="2600" spans="2:8" hidden="1" outlineLevel="1">
      <c r="B2600" s="76"/>
      <c r="C2600" s="9" t="str">
        <f>$E$5976</f>
        <v>Show</v>
      </c>
      <c r="D2600" s="23"/>
      <c r="E2600" s="12"/>
      <c r="F2600" s="70" t="s">
        <v>623</v>
      </c>
      <c r="G2600" s="12" t="s">
        <v>3450</v>
      </c>
    </row>
    <row r="2601" spans="2:8" hidden="1" outlineLevel="1">
      <c r="B2601" s="76"/>
      <c r="C2601" s="9" t="str">
        <f>C2600</f>
        <v>Show</v>
      </c>
      <c r="D2601" s="23"/>
      <c r="E2601" s="12"/>
      <c r="G2601" s="30" t="s">
        <v>121</v>
      </c>
      <c r="H2601" s="75" t="s">
        <v>2530</v>
      </c>
    </row>
    <row r="2602" spans="2:8" hidden="1" outlineLevel="1">
      <c r="B2602" s="76"/>
      <c r="C2602" s="9" t="str">
        <f>C2569</f>
        <v>Show</v>
      </c>
      <c r="D2602" s="23" t="s">
        <v>187</v>
      </c>
      <c r="E2602" s="13"/>
      <c r="G2602" s="13"/>
    </row>
    <row r="2603" spans="2:8" hidden="1" outlineLevel="1">
      <c r="B2603" s="76"/>
      <c r="C2603" s="9" t="str">
        <f>C2569</f>
        <v>Show</v>
      </c>
      <c r="D2603" s="23"/>
      <c r="E2603" s="12" t="str">
        <f>IF(COUNTIF(C2604:C2615,"Show")&gt;0,"3.1 Execution Requirements","No EGC Requirements")</f>
        <v>3.1 Execution Requirements</v>
      </c>
      <c r="G2603" s="13"/>
    </row>
    <row r="2604" spans="2:8" hidden="1" outlineLevel="1">
      <c r="B2604" s="76"/>
      <c r="C2604" s="9" t="str">
        <f>$F$5954</f>
        <v>Show</v>
      </c>
      <c r="D2604" s="23"/>
      <c r="E2604" s="12"/>
      <c r="F2604" s="70" t="s">
        <v>119</v>
      </c>
      <c r="G2604" s="12" t="s">
        <v>3439</v>
      </c>
    </row>
    <row r="2605" spans="2:8" ht="30" hidden="1" outlineLevel="1">
      <c r="B2605" s="76"/>
      <c r="C2605" s="9" t="str">
        <f>C2604</f>
        <v>Show</v>
      </c>
      <c r="D2605" s="23"/>
      <c r="E2605" s="12"/>
      <c r="F2605" s="70"/>
      <c r="G2605" s="30" t="s">
        <v>121</v>
      </c>
      <c r="H2605" s="75" t="s">
        <v>2551</v>
      </c>
    </row>
    <row r="2606" spans="2:8" hidden="1" outlineLevel="1">
      <c r="B2606" s="76"/>
      <c r="C2606" s="9" t="str">
        <f>$F$5964</f>
        <v>Show</v>
      </c>
      <c r="D2606" s="23"/>
      <c r="E2606" s="13"/>
      <c r="F2606" s="70" t="s">
        <v>125</v>
      </c>
      <c r="G2606" s="12" t="s">
        <v>3410</v>
      </c>
    </row>
    <row r="2607" spans="2:8" ht="30" hidden="1" outlineLevel="1">
      <c r="B2607" s="76"/>
      <c r="C2607" s="9" t="str">
        <f>C2606</f>
        <v>Show</v>
      </c>
      <c r="D2607" s="23"/>
      <c r="E2607" s="13"/>
      <c r="F2607" s="70"/>
      <c r="G2607" s="30" t="s">
        <v>121</v>
      </c>
      <c r="H2607" s="75" t="s">
        <v>2339</v>
      </c>
    </row>
    <row r="2608" spans="2:8" hidden="1" outlineLevel="1">
      <c r="B2608" s="76"/>
      <c r="C2608" s="9" t="str">
        <f>$F$5965</f>
        <v>Show</v>
      </c>
      <c r="D2608" s="23"/>
      <c r="E2608" s="13"/>
      <c r="F2608" s="70" t="s">
        <v>158</v>
      </c>
      <c r="G2608" s="12" t="s">
        <v>3414</v>
      </c>
    </row>
    <row r="2609" spans="2:8" ht="30" hidden="1" outlineLevel="1">
      <c r="B2609" s="76"/>
      <c r="C2609" s="9" t="str">
        <f>C2608</f>
        <v>Show</v>
      </c>
      <c r="D2609" s="23"/>
      <c r="E2609" s="13"/>
      <c r="G2609" s="30" t="s">
        <v>121</v>
      </c>
      <c r="H2609" s="75" t="s">
        <v>2352</v>
      </c>
    </row>
    <row r="2610" spans="2:8" hidden="1" outlineLevel="1">
      <c r="B2610" s="76"/>
      <c r="C2610" s="9" t="str">
        <f>$F$5966</f>
        <v>Show</v>
      </c>
      <c r="D2610" s="23"/>
      <c r="E2610" s="13"/>
      <c r="F2610" s="70" t="s">
        <v>159</v>
      </c>
      <c r="G2610" s="12" t="s">
        <v>3449</v>
      </c>
    </row>
    <row r="2611" spans="2:8" hidden="1" outlineLevel="1">
      <c r="B2611" s="76"/>
      <c r="C2611" s="9" t="str">
        <f>C2610</f>
        <v>Show</v>
      </c>
      <c r="D2611" s="23"/>
      <c r="E2611" s="13"/>
      <c r="F2611" s="70"/>
      <c r="G2611" s="30" t="s">
        <v>121</v>
      </c>
      <c r="H2611" s="75" t="s">
        <v>2340</v>
      </c>
    </row>
    <row r="2612" spans="2:8" hidden="1" outlineLevel="1">
      <c r="B2612" s="76"/>
      <c r="C2612" s="9" t="str">
        <f>$F$5974</f>
        <v>Show</v>
      </c>
      <c r="D2612" s="23"/>
      <c r="E2612" s="13"/>
      <c r="F2612" s="70" t="s">
        <v>621</v>
      </c>
      <c r="G2612" s="12" t="s">
        <v>3407</v>
      </c>
    </row>
    <row r="2613" spans="2:8" hidden="1" outlineLevel="1">
      <c r="B2613" s="76"/>
      <c r="C2613" s="9" t="str">
        <f>C2612</f>
        <v>Show</v>
      </c>
      <c r="D2613" s="23"/>
      <c r="E2613" s="13"/>
      <c r="F2613" s="70"/>
      <c r="G2613" s="78" t="s">
        <v>121</v>
      </c>
      <c r="H2613" s="75" t="s">
        <v>2324</v>
      </c>
    </row>
    <row r="2614" spans="2:8" hidden="1" outlineLevel="1">
      <c r="B2614" s="76"/>
      <c r="C2614" s="9" t="str">
        <f>$F$5976</f>
        <v>Show</v>
      </c>
      <c r="D2614" s="23"/>
      <c r="E2614" s="13"/>
      <c r="F2614" s="70" t="s">
        <v>622</v>
      </c>
      <c r="G2614" s="12" t="s">
        <v>3450</v>
      </c>
    </row>
    <row r="2615" spans="2:8" hidden="1" outlineLevel="1">
      <c r="B2615" s="76"/>
      <c r="C2615" s="9" t="str">
        <f>C2614</f>
        <v>Show</v>
      </c>
      <c r="D2615" s="23"/>
      <c r="E2615" s="13"/>
      <c r="G2615" s="78" t="s">
        <v>121</v>
      </c>
      <c r="H2615" s="75" t="s">
        <v>2766</v>
      </c>
    </row>
    <row r="2616" spans="2:8" hidden="1" outlineLevel="1">
      <c r="B2616" s="76"/>
      <c r="C2616" s="9" t="str">
        <f>C2569</f>
        <v>Show</v>
      </c>
    </row>
    <row r="2617" spans="2:8" collapsed="1">
      <c r="B2617" s="23"/>
      <c r="C2617" s="2" t="str">
        <f>C2618</f>
        <v>Show</v>
      </c>
      <c r="D2617" s="55" t="s">
        <v>268</v>
      </c>
      <c r="E2617" s="55"/>
      <c r="F2617" s="57" t="s">
        <v>269</v>
      </c>
      <c r="G2617" s="59"/>
      <c r="H2617" s="58"/>
    </row>
    <row r="2618" spans="2:8" hidden="1" outlineLevel="1">
      <c r="B2618" s="12" t="s">
        <v>2697</v>
      </c>
      <c r="C2618" s="2" t="str">
        <f>IF((COUNTIF(C2622:C2628,"Show")+COUNTIF(C2631:C2634,"Show")+COUNTIF(C2637:C2642,"Show"))&gt;0,"Show","Hide")</f>
        <v>Show</v>
      </c>
      <c r="D2618" s="23" t="s">
        <v>117</v>
      </c>
      <c r="E2618" s="13"/>
      <c r="G2618" s="13"/>
    </row>
    <row r="2619" spans="2:8" hidden="1" outlineLevel="1">
      <c r="B2619" s="12" t="s">
        <v>2697</v>
      </c>
      <c r="C2619" s="9" t="str">
        <f>C2618</f>
        <v>Show</v>
      </c>
      <c r="D2619" s="23"/>
      <c r="E2619" s="13">
        <v>1.1000000000000001</v>
      </c>
      <c r="F2619" s="11" t="s">
        <v>118</v>
      </c>
      <c r="G2619" s="13"/>
    </row>
    <row r="2620" spans="2:8" hidden="1" outlineLevel="1">
      <c r="B2620" s="12" t="s">
        <v>2697</v>
      </c>
      <c r="C2620" s="9" t="str">
        <f>C2619</f>
        <v>Show</v>
      </c>
      <c r="D2620" s="23"/>
      <c r="E2620" s="13"/>
      <c r="F2620" s="70" t="s">
        <v>119</v>
      </c>
      <c r="G2620" s="18" t="s">
        <v>677</v>
      </c>
    </row>
    <row r="2621" spans="2:8" hidden="1" outlineLevel="1">
      <c r="B2621" s="12" t="s">
        <v>2697</v>
      </c>
      <c r="C2621" s="9" t="str">
        <f>C2620</f>
        <v>Show</v>
      </c>
      <c r="D2621" s="23"/>
      <c r="E2621" s="13"/>
      <c r="F2621" s="70"/>
      <c r="G2621" s="78" t="s">
        <v>121</v>
      </c>
      <c r="H2621" s="79" t="s">
        <v>2301</v>
      </c>
    </row>
    <row r="2622" spans="2:8" hidden="1" outlineLevel="1">
      <c r="B2622" s="12" t="s">
        <v>2697</v>
      </c>
      <c r="C2622" s="9" t="str">
        <f>IF(COUNTIF(C2623:C2628,"Show")&gt;0,"Show","Hide")</f>
        <v>Show</v>
      </c>
      <c r="D2622" s="23"/>
      <c r="E2622" s="13">
        <v>1.2</v>
      </c>
      <c r="F2622" s="71" t="s">
        <v>131</v>
      </c>
      <c r="G2622" s="78"/>
    </row>
    <row r="2623" spans="2:8" hidden="1" outlineLevel="1">
      <c r="B2623" s="12" t="s">
        <v>2697</v>
      </c>
      <c r="C2623" s="9" t="str">
        <f>$D$5954</f>
        <v>Show</v>
      </c>
      <c r="D2623" s="23"/>
      <c r="E2623" s="13"/>
      <c r="F2623" s="70" t="s">
        <v>119</v>
      </c>
      <c r="G2623" s="12" t="s">
        <v>3439</v>
      </c>
    </row>
    <row r="2624" spans="2:8" hidden="1" outlineLevel="1">
      <c r="B2624" s="12" t="s">
        <v>2697</v>
      </c>
      <c r="C2624" s="9" t="str">
        <f>C2623</f>
        <v>Show</v>
      </c>
      <c r="D2624" s="23"/>
      <c r="E2624" s="13"/>
      <c r="F2624" s="70"/>
      <c r="G2624" s="78" t="s">
        <v>121</v>
      </c>
      <c r="H2624" s="75" t="s">
        <v>2547</v>
      </c>
    </row>
    <row r="2625" spans="2:8" hidden="1" outlineLevel="1">
      <c r="B2625" s="12" t="s">
        <v>2697</v>
      </c>
      <c r="C2625" s="9" t="str">
        <f>C904</f>
        <v>Show</v>
      </c>
      <c r="D2625" s="23"/>
      <c r="E2625" s="13"/>
      <c r="F2625" s="70" t="str">
        <f>IF(C2624="Show","B.","A.")</f>
        <v>B.</v>
      </c>
      <c r="G2625" s="12" t="s">
        <v>3448</v>
      </c>
    </row>
    <row r="2626" spans="2:8" hidden="1" outlineLevel="1">
      <c r="B2626" s="12" t="s">
        <v>2697</v>
      </c>
      <c r="C2626" s="9" t="str">
        <f>C2625</f>
        <v>Show</v>
      </c>
      <c r="D2626" s="23"/>
      <c r="E2626" s="13"/>
      <c r="G2626" s="78" t="s">
        <v>121</v>
      </c>
      <c r="H2626" s="75" t="s">
        <v>2407</v>
      </c>
    </row>
    <row r="2627" spans="2:8" hidden="1" outlineLevel="1">
      <c r="B2627" s="12" t="s">
        <v>2697</v>
      </c>
      <c r="C2627" s="9" t="str">
        <f>C906</f>
        <v>Show</v>
      </c>
      <c r="D2627" s="23"/>
      <c r="E2627" s="13"/>
      <c r="F2627" s="70" t="str">
        <f>IF(AND(C2623="Show",C2625="Show"),"C.",IF(OR(C2623="Show",C2625="Show"),"B.","A."))</f>
        <v>C.</v>
      </c>
      <c r="G2627" s="12" t="s">
        <v>3416</v>
      </c>
    </row>
    <row r="2628" spans="2:8" hidden="1" outlineLevel="1">
      <c r="B2628" s="12" t="s">
        <v>2697</v>
      </c>
      <c r="C2628" s="9" t="str">
        <f>C2627</f>
        <v>Show</v>
      </c>
      <c r="D2628" s="23"/>
      <c r="E2628" s="13"/>
      <c r="F2628" s="70"/>
      <c r="G2628" s="78" t="s">
        <v>121</v>
      </c>
      <c r="H2628" s="75" t="s">
        <v>2356</v>
      </c>
    </row>
    <row r="2629" spans="2:8" hidden="1" outlineLevel="1">
      <c r="B2629" s="12" t="s">
        <v>2697</v>
      </c>
      <c r="C2629" s="9" t="str">
        <f>C2618</f>
        <v>Show</v>
      </c>
      <c r="D2629" s="23" t="s">
        <v>613</v>
      </c>
      <c r="E2629" s="13"/>
      <c r="G2629" s="13"/>
    </row>
    <row r="2630" spans="2:8" hidden="1" outlineLevel="1">
      <c r="B2630" s="12" t="s">
        <v>2697</v>
      </c>
      <c r="C2630" s="9" t="str">
        <f>C2618</f>
        <v>Show</v>
      </c>
      <c r="D2630" s="23"/>
      <c r="E2630" s="12" t="str">
        <f>IF(COUNTIF(C2631:C2634,"Show")&gt;0,"2.1 Product Requirements","No EGC Requirements")</f>
        <v>2.1 Product Requirements</v>
      </c>
      <c r="G2630" s="13"/>
    </row>
    <row r="2631" spans="2:8" hidden="1" outlineLevel="1">
      <c r="B2631" s="12" t="s">
        <v>2697</v>
      </c>
      <c r="C2631" s="9" t="str">
        <f>$E$5954</f>
        <v>Show</v>
      </c>
      <c r="D2631" s="23"/>
      <c r="E2631" s="12"/>
      <c r="F2631" s="70" t="s">
        <v>119</v>
      </c>
      <c r="G2631" s="12" t="s">
        <v>3439</v>
      </c>
    </row>
    <row r="2632" spans="2:8" hidden="1" outlineLevel="1">
      <c r="B2632" s="12" t="s">
        <v>2697</v>
      </c>
      <c r="C2632" s="9" t="str">
        <f>C2631</f>
        <v>Show</v>
      </c>
      <c r="D2632" s="23"/>
      <c r="E2632" s="12"/>
      <c r="G2632" s="30" t="s">
        <v>121</v>
      </c>
      <c r="H2632" s="75" t="s">
        <v>2549</v>
      </c>
    </row>
    <row r="2633" spans="2:8" hidden="1" outlineLevel="1">
      <c r="B2633" s="12" t="s">
        <v>2697</v>
      </c>
      <c r="C2633" s="9" t="str">
        <f>C1214</f>
        <v>Show</v>
      </c>
      <c r="D2633" s="23"/>
      <c r="E2633" s="12"/>
      <c r="F2633" s="70" t="str">
        <f>IF(C2632="Show","B.","A.")</f>
        <v>B.</v>
      </c>
      <c r="G2633" s="12" t="s">
        <v>3448</v>
      </c>
    </row>
    <row r="2634" spans="2:8" hidden="1" outlineLevel="1">
      <c r="B2634" s="12" t="s">
        <v>2697</v>
      </c>
      <c r="C2634" s="9" t="str">
        <f>C2633</f>
        <v>Show</v>
      </c>
      <c r="D2634" s="23"/>
      <c r="E2634" s="12"/>
      <c r="G2634" s="30" t="s">
        <v>121</v>
      </c>
      <c r="H2634" s="75" t="s">
        <v>2409</v>
      </c>
    </row>
    <row r="2635" spans="2:8" hidden="1" outlineLevel="1">
      <c r="B2635" s="12" t="s">
        <v>2697</v>
      </c>
      <c r="C2635" s="9" t="str">
        <f>C2618</f>
        <v>Show</v>
      </c>
      <c r="D2635" s="23" t="s">
        <v>187</v>
      </c>
      <c r="E2635" s="13"/>
      <c r="G2635" s="13"/>
    </row>
    <row r="2636" spans="2:8" hidden="1" outlineLevel="1">
      <c r="B2636" s="12" t="s">
        <v>2697</v>
      </c>
      <c r="C2636" s="9" t="str">
        <f>C2618</f>
        <v>Show</v>
      </c>
      <c r="D2636" s="23"/>
      <c r="E2636" s="12" t="str">
        <f>IF(COUNTIF(C2637:C2642,"Show")&gt;0,"3.1 Execution Requirements","No EGC Requirements")</f>
        <v>3.1 Execution Requirements</v>
      </c>
      <c r="G2636" s="13"/>
    </row>
    <row r="2637" spans="2:8" hidden="1" outlineLevel="1">
      <c r="B2637" s="12" t="s">
        <v>2697</v>
      </c>
      <c r="C2637" s="9" t="str">
        <f>$F$5954</f>
        <v>Show</v>
      </c>
      <c r="D2637" s="23"/>
      <c r="E2637" s="13"/>
      <c r="F2637" s="70" t="s">
        <v>119</v>
      </c>
      <c r="G2637" s="12" t="s">
        <v>3439</v>
      </c>
    </row>
    <row r="2638" spans="2:8" ht="30" hidden="1" outlineLevel="1">
      <c r="B2638" s="12" t="s">
        <v>2697</v>
      </c>
      <c r="C2638" s="9" t="str">
        <f>C2637</f>
        <v>Show</v>
      </c>
      <c r="D2638" s="23"/>
      <c r="E2638" s="13"/>
      <c r="G2638" s="78" t="s">
        <v>121</v>
      </c>
      <c r="H2638" s="75" t="s">
        <v>2551</v>
      </c>
    </row>
    <row r="2639" spans="2:8" hidden="1" outlineLevel="1">
      <c r="B2639" s="12" t="s">
        <v>2697</v>
      </c>
      <c r="C2639" s="9" t="str">
        <f>C1606</f>
        <v>Show</v>
      </c>
      <c r="D2639" s="23"/>
      <c r="E2639" s="13"/>
      <c r="F2639" s="70" t="str">
        <f>IF(C2637="Show","B.","A.")</f>
        <v>B.</v>
      </c>
      <c r="G2639" s="12" t="s">
        <v>3448</v>
      </c>
    </row>
    <row r="2640" spans="2:8" ht="30" hidden="1" outlineLevel="1">
      <c r="B2640" s="12" t="s">
        <v>2697</v>
      </c>
      <c r="C2640" s="9" t="str">
        <f>C2639</f>
        <v>Show</v>
      </c>
      <c r="D2640" s="23"/>
      <c r="E2640" s="13"/>
      <c r="G2640" s="78" t="s">
        <v>121</v>
      </c>
      <c r="H2640" s="75" t="s">
        <v>2762</v>
      </c>
    </row>
    <row r="2641" spans="2:8" hidden="1" outlineLevel="1">
      <c r="B2641" s="12" t="s">
        <v>2697</v>
      </c>
      <c r="C2641" s="9" t="str">
        <f>C1614</f>
        <v>Show</v>
      </c>
      <c r="D2641" s="23"/>
      <c r="E2641" s="13"/>
      <c r="F2641" s="70" t="str">
        <f>IF(AND(C2638="Show",C2640="Show"),"C.",IF(OR(C2638="Show",C2640="Show"),"B.","A."))</f>
        <v>C.</v>
      </c>
      <c r="G2641" s="12" t="s">
        <v>3416</v>
      </c>
    </row>
    <row r="2642" spans="2:8" ht="30" hidden="1" outlineLevel="1">
      <c r="B2642" s="12" t="s">
        <v>2697</v>
      </c>
      <c r="C2642" s="9" t="str">
        <f>C2641</f>
        <v>Show</v>
      </c>
      <c r="D2642" s="23"/>
      <c r="E2642" s="13"/>
      <c r="G2642" s="78" t="s">
        <v>121</v>
      </c>
      <c r="H2642" s="75" t="s">
        <v>2763</v>
      </c>
    </row>
    <row r="2643" spans="2:8" hidden="1" outlineLevel="1">
      <c r="B2643" s="12" t="s">
        <v>2697</v>
      </c>
      <c r="C2643" s="9" t="str">
        <f>C2618</f>
        <v>Show</v>
      </c>
    </row>
    <row r="2644" spans="2:8" collapsed="1">
      <c r="B2644" s="23"/>
      <c r="C2644" s="2" t="str">
        <f>C2645</f>
        <v>Show</v>
      </c>
      <c r="D2644" s="55" t="s">
        <v>270</v>
      </c>
      <c r="E2644" s="55"/>
      <c r="F2644" s="57" t="s">
        <v>271</v>
      </c>
      <c r="G2644" s="53"/>
      <c r="H2644" s="54"/>
    </row>
    <row r="2645" spans="2:8" hidden="1" outlineLevel="1">
      <c r="B2645" s="12" t="s">
        <v>2697</v>
      </c>
      <c r="C2645" s="2" t="str">
        <f>IF((COUNTIF(C2649:C2653,"Show")+COUNTIF(C2656:C2657,"Show")+COUNTIF(C2660:C2663,"Show"))&gt;0,"Show","Hide")</f>
        <v>Show</v>
      </c>
      <c r="D2645" s="23" t="s">
        <v>117</v>
      </c>
      <c r="E2645" s="13"/>
      <c r="G2645" s="13"/>
    </row>
    <row r="2646" spans="2:8" hidden="1" outlineLevel="1">
      <c r="B2646" s="12" t="s">
        <v>2697</v>
      </c>
      <c r="C2646" s="9" t="str">
        <f>C2645</f>
        <v>Show</v>
      </c>
      <c r="D2646" s="23"/>
      <c r="E2646" s="13">
        <v>1.1000000000000001</v>
      </c>
      <c r="F2646" s="11" t="s">
        <v>118</v>
      </c>
      <c r="G2646" s="13"/>
    </row>
    <row r="2647" spans="2:8" hidden="1" outlineLevel="1">
      <c r="B2647" s="12" t="s">
        <v>2697</v>
      </c>
      <c r="C2647" s="9" t="str">
        <f>C2646</f>
        <v>Show</v>
      </c>
      <c r="D2647" s="23"/>
      <c r="E2647" s="13"/>
      <c r="F2647" s="70" t="s">
        <v>119</v>
      </c>
      <c r="G2647" s="18" t="s">
        <v>677</v>
      </c>
    </row>
    <row r="2648" spans="2:8" hidden="1" outlineLevel="1">
      <c r="B2648" s="12" t="s">
        <v>2697</v>
      </c>
      <c r="C2648" s="9" t="str">
        <f>C2647</f>
        <v>Show</v>
      </c>
      <c r="D2648" s="23"/>
      <c r="E2648" s="13"/>
      <c r="F2648" s="70"/>
      <c r="G2648" s="78" t="s">
        <v>121</v>
      </c>
      <c r="H2648" s="79" t="s">
        <v>2301</v>
      </c>
    </row>
    <row r="2649" spans="2:8" hidden="1" outlineLevel="1">
      <c r="B2649" s="12" t="s">
        <v>2697</v>
      </c>
      <c r="C2649" s="9" t="str">
        <f>IF(COUNTIF(C2650:C2653,"Show")&gt;0,"Show","Hide")</f>
        <v>Show</v>
      </c>
      <c r="D2649" s="23"/>
      <c r="E2649" s="13">
        <v>1.2</v>
      </c>
      <c r="F2649" s="71" t="s">
        <v>131</v>
      </c>
      <c r="G2649" s="78"/>
    </row>
    <row r="2650" spans="2:8" hidden="1" outlineLevel="1">
      <c r="B2650" s="12" t="s">
        <v>2697</v>
      </c>
      <c r="C2650" s="9" t="str">
        <f>C904</f>
        <v>Show</v>
      </c>
      <c r="D2650" s="23"/>
      <c r="E2650" s="13"/>
      <c r="F2650" s="70" t="s">
        <v>119</v>
      </c>
      <c r="G2650" s="12" t="s">
        <v>3448</v>
      </c>
    </row>
    <row r="2651" spans="2:8" hidden="1" outlineLevel="1">
      <c r="B2651" s="12" t="s">
        <v>2697</v>
      </c>
      <c r="C2651" s="9" t="str">
        <f>C2650</f>
        <v>Show</v>
      </c>
      <c r="D2651" s="23"/>
      <c r="E2651" s="13"/>
      <c r="G2651" s="78" t="s">
        <v>121</v>
      </c>
      <c r="H2651" s="75" t="s">
        <v>2407</v>
      </c>
    </row>
    <row r="2652" spans="2:8" hidden="1" outlineLevel="1">
      <c r="B2652" s="12" t="s">
        <v>2697</v>
      </c>
      <c r="C2652" s="9" t="str">
        <f>C906</f>
        <v>Show</v>
      </c>
      <c r="D2652" s="23"/>
      <c r="E2652" s="13"/>
      <c r="F2652" s="70" t="str">
        <f>IF(C2651="Show","B.","A.")</f>
        <v>B.</v>
      </c>
      <c r="G2652" s="12" t="s">
        <v>3416</v>
      </c>
    </row>
    <row r="2653" spans="2:8" hidden="1" outlineLevel="1">
      <c r="B2653" s="12" t="s">
        <v>2697</v>
      </c>
      <c r="C2653" s="9" t="str">
        <f>C2652</f>
        <v>Show</v>
      </c>
      <c r="D2653" s="23"/>
      <c r="E2653" s="13"/>
      <c r="F2653" s="70"/>
      <c r="G2653" s="78" t="s">
        <v>121</v>
      </c>
      <c r="H2653" s="75" t="s">
        <v>2356</v>
      </c>
    </row>
    <row r="2654" spans="2:8" hidden="1" outlineLevel="1">
      <c r="B2654" s="12" t="s">
        <v>2697</v>
      </c>
      <c r="C2654" s="9" t="str">
        <f>C2645</f>
        <v>Show</v>
      </c>
      <c r="D2654" s="23" t="s">
        <v>613</v>
      </c>
      <c r="E2654" s="13"/>
      <c r="G2654" s="13"/>
    </row>
    <row r="2655" spans="2:8" hidden="1" outlineLevel="1">
      <c r="B2655" s="12" t="s">
        <v>2697</v>
      </c>
      <c r="C2655" s="9" t="str">
        <f>C2645</f>
        <v>Show</v>
      </c>
      <c r="D2655" s="23"/>
      <c r="E2655" s="12" t="str">
        <f>IF(COUNTIF(C2656:C2657,"Show")&gt;0,"2.1 Product Requirements","No EGC Requirements")</f>
        <v>2.1 Product Requirements</v>
      </c>
      <c r="G2655" s="13"/>
    </row>
    <row r="2656" spans="2:8" hidden="1" outlineLevel="1">
      <c r="B2656" s="12" t="s">
        <v>2697</v>
      </c>
      <c r="C2656" s="9" t="str">
        <f>C1214</f>
        <v>Show</v>
      </c>
      <c r="D2656" s="23"/>
      <c r="E2656" s="12"/>
      <c r="F2656" s="70" t="s">
        <v>119</v>
      </c>
      <c r="G2656" s="12" t="s">
        <v>3448</v>
      </c>
    </row>
    <row r="2657" spans="2:8" hidden="1" outlineLevel="1">
      <c r="B2657" s="12" t="s">
        <v>2697</v>
      </c>
      <c r="C2657" s="9" t="str">
        <f>C2656</f>
        <v>Show</v>
      </c>
      <c r="D2657" s="23"/>
      <c r="E2657" s="12"/>
      <c r="G2657" s="30" t="s">
        <v>121</v>
      </c>
      <c r="H2657" s="75" t="s">
        <v>2409</v>
      </c>
    </row>
    <row r="2658" spans="2:8" hidden="1" outlineLevel="1">
      <c r="B2658" s="12" t="s">
        <v>2697</v>
      </c>
      <c r="C2658" s="9" t="str">
        <f>C2645</f>
        <v>Show</v>
      </c>
      <c r="D2658" s="23" t="s">
        <v>187</v>
      </c>
      <c r="E2658" s="13"/>
      <c r="G2658" s="13"/>
    </row>
    <row r="2659" spans="2:8" hidden="1" outlineLevel="1">
      <c r="B2659" s="12" t="s">
        <v>2697</v>
      </c>
      <c r="C2659" s="9" t="str">
        <f>C2645</f>
        <v>Show</v>
      </c>
      <c r="D2659" s="23"/>
      <c r="E2659" s="12" t="str">
        <f>IF(COUNTIF(C2660:C2663,"Show")&gt;0,"3.1 Execution Requirements","No EGC Requirements")</f>
        <v>3.1 Execution Requirements</v>
      </c>
      <c r="G2659" s="13"/>
    </row>
    <row r="2660" spans="2:8" hidden="1" outlineLevel="1">
      <c r="B2660" s="12" t="s">
        <v>2697</v>
      </c>
      <c r="C2660" s="9" t="str">
        <f>C1606</f>
        <v>Show</v>
      </c>
      <c r="D2660" s="23"/>
      <c r="E2660" s="13"/>
      <c r="F2660" s="70" t="s">
        <v>119</v>
      </c>
      <c r="G2660" s="12" t="s">
        <v>3448</v>
      </c>
    </row>
    <row r="2661" spans="2:8" ht="30" hidden="1" outlineLevel="1">
      <c r="B2661" s="12" t="s">
        <v>2697</v>
      </c>
      <c r="C2661" s="9" t="str">
        <f>C2660</f>
        <v>Show</v>
      </c>
      <c r="D2661" s="23"/>
      <c r="E2661" s="13"/>
      <c r="G2661" s="78" t="s">
        <v>121</v>
      </c>
      <c r="H2661" s="75" t="s">
        <v>2762</v>
      </c>
    </row>
    <row r="2662" spans="2:8" hidden="1" outlineLevel="1">
      <c r="B2662" s="12" t="s">
        <v>2697</v>
      </c>
      <c r="C2662" s="9" t="str">
        <f>C1614</f>
        <v>Show</v>
      </c>
      <c r="D2662" s="23"/>
      <c r="E2662" s="13"/>
      <c r="F2662" s="70" t="str">
        <f>IF(C2661="Show","B.","A.")</f>
        <v>B.</v>
      </c>
      <c r="G2662" s="12" t="s">
        <v>3416</v>
      </c>
    </row>
    <row r="2663" spans="2:8" ht="30" hidden="1" outlineLevel="1">
      <c r="B2663" s="12" t="s">
        <v>2697</v>
      </c>
      <c r="C2663" s="9" t="str">
        <f>C2662</f>
        <v>Show</v>
      </c>
      <c r="D2663" s="23"/>
      <c r="E2663" s="13"/>
      <c r="G2663" s="78" t="s">
        <v>121</v>
      </c>
      <c r="H2663" s="75" t="s">
        <v>2763</v>
      </c>
    </row>
    <row r="2664" spans="2:8" hidden="1" outlineLevel="1">
      <c r="B2664" s="12" t="s">
        <v>2697</v>
      </c>
      <c r="C2664" s="9" t="str">
        <f>C2645</f>
        <v>Show</v>
      </c>
    </row>
    <row r="2665" spans="2:8" collapsed="1">
      <c r="B2665" s="23"/>
      <c r="C2665" s="2" t="str">
        <f>C2666</f>
        <v>Show</v>
      </c>
      <c r="D2665" s="60" t="s">
        <v>272</v>
      </c>
      <c r="E2665" s="60"/>
      <c r="F2665" s="56" t="s">
        <v>273</v>
      </c>
      <c r="G2665" s="53"/>
      <c r="H2665" s="54"/>
    </row>
    <row r="2666" spans="2:8" hidden="1" outlineLevel="1">
      <c r="B2666" s="76"/>
      <c r="C2666" s="2" t="str">
        <f>IF((COUNTIF(C2670:C2682,"Show")+COUNTIF(C2685:C2698,"Show")+COUNTIF(C2701:C2712,"Show"))&gt;0,"Show","Hide")</f>
        <v>Show</v>
      </c>
      <c r="D2666" s="23" t="s">
        <v>117</v>
      </c>
      <c r="E2666" s="13"/>
      <c r="G2666" s="13"/>
    </row>
    <row r="2667" spans="2:8" hidden="1" outlineLevel="1">
      <c r="B2667" s="76"/>
      <c r="C2667" s="9" t="str">
        <f>C2666</f>
        <v>Show</v>
      </c>
      <c r="D2667" s="23"/>
      <c r="E2667" s="13">
        <v>1.1000000000000001</v>
      </c>
      <c r="F2667" s="11" t="s">
        <v>118</v>
      </c>
      <c r="G2667" s="13"/>
    </row>
    <row r="2668" spans="2:8" hidden="1" outlineLevel="1">
      <c r="B2668" s="76"/>
      <c r="C2668" s="9" t="str">
        <f>C2667</f>
        <v>Show</v>
      </c>
      <c r="D2668" s="23"/>
      <c r="E2668" s="13"/>
      <c r="F2668" s="70" t="s">
        <v>119</v>
      </c>
      <c r="G2668" s="18" t="s">
        <v>677</v>
      </c>
    </row>
    <row r="2669" spans="2:8" hidden="1" outlineLevel="1">
      <c r="B2669" s="76"/>
      <c r="C2669" s="9" t="str">
        <f>C2668</f>
        <v>Show</v>
      </c>
      <c r="D2669" s="23"/>
      <c r="E2669" s="13"/>
      <c r="F2669" s="70"/>
      <c r="G2669" s="78" t="s">
        <v>121</v>
      </c>
      <c r="H2669" s="79" t="s">
        <v>2301</v>
      </c>
    </row>
    <row r="2670" spans="2:8" hidden="1" outlineLevel="1">
      <c r="B2670" s="76"/>
      <c r="C2670" s="9" t="str">
        <f>IF(COUNTIF(C2671:C2682,"Show")&gt;0,"Show","Hide")</f>
        <v>Show</v>
      </c>
      <c r="D2670" s="23"/>
      <c r="E2670" s="13">
        <v>1.2</v>
      </c>
      <c r="F2670" s="71" t="s">
        <v>131</v>
      </c>
      <c r="G2670" s="78"/>
    </row>
    <row r="2671" spans="2:8" hidden="1" outlineLevel="1">
      <c r="B2671" s="76"/>
      <c r="C2671" s="9" t="str">
        <f>$D$5964</f>
        <v>Show</v>
      </c>
      <c r="D2671" s="23"/>
      <c r="E2671" s="13"/>
      <c r="F2671" s="70" t="s">
        <v>119</v>
      </c>
      <c r="G2671" s="12" t="s">
        <v>3410</v>
      </c>
    </row>
    <row r="2672" spans="2:8" hidden="1" outlineLevel="1">
      <c r="B2672" s="76"/>
      <c r="C2672" s="9" t="str">
        <f>C2671</f>
        <v>Show</v>
      </c>
      <c r="D2672" s="23"/>
      <c r="E2672" s="13"/>
      <c r="F2672" s="70"/>
      <c r="G2672" s="78" t="s">
        <v>121</v>
      </c>
      <c r="H2672" s="75" t="s">
        <v>2765</v>
      </c>
    </row>
    <row r="2673" spans="2:8" hidden="1" outlineLevel="1">
      <c r="B2673" s="76"/>
      <c r="C2673" s="9" t="str">
        <f>$D$5965</f>
        <v>Show</v>
      </c>
      <c r="D2673" s="23"/>
      <c r="E2673" s="13"/>
      <c r="F2673" s="70" t="s">
        <v>125</v>
      </c>
      <c r="G2673" s="12" t="s">
        <v>3414</v>
      </c>
    </row>
    <row r="2674" spans="2:8" hidden="1" outlineLevel="1">
      <c r="B2674" s="76"/>
      <c r="C2674" s="9" t="str">
        <f>C2673</f>
        <v>Show</v>
      </c>
      <c r="D2674" s="23"/>
      <c r="E2674" s="13"/>
      <c r="F2674" s="70"/>
      <c r="G2674" s="78" t="s">
        <v>121</v>
      </c>
      <c r="H2674" s="75" t="s">
        <v>2350</v>
      </c>
    </row>
    <row r="2675" spans="2:8" hidden="1" outlineLevel="1">
      <c r="B2675" s="76"/>
      <c r="C2675" s="9" t="str">
        <f>$D$5966</f>
        <v>Show</v>
      </c>
      <c r="D2675" s="23"/>
      <c r="E2675" s="13"/>
      <c r="F2675" s="70" t="s">
        <v>158</v>
      </c>
      <c r="G2675" s="12" t="s">
        <v>3449</v>
      </c>
    </row>
    <row r="2676" spans="2:8" hidden="1" outlineLevel="1">
      <c r="B2676" s="76"/>
      <c r="C2676" s="9" t="str">
        <f>C2675</f>
        <v>Show</v>
      </c>
      <c r="D2676" s="23"/>
      <c r="E2676" s="13"/>
      <c r="G2676" s="78" t="s">
        <v>121</v>
      </c>
      <c r="H2676" s="75" t="s">
        <v>2336</v>
      </c>
    </row>
    <row r="2677" spans="2:8" hidden="1" outlineLevel="1">
      <c r="B2677" s="76"/>
      <c r="C2677" s="9" t="str">
        <f>$D$5974</f>
        <v>Show</v>
      </c>
      <c r="D2677" s="23"/>
      <c r="E2677" s="13"/>
      <c r="F2677" s="70" t="s">
        <v>159</v>
      </c>
      <c r="G2677" s="12" t="s">
        <v>3407</v>
      </c>
    </row>
    <row r="2678" spans="2:8" hidden="1" outlineLevel="1">
      <c r="B2678" s="76"/>
      <c r="C2678" s="9" t="str">
        <f>C2677</f>
        <v>Show</v>
      </c>
      <c r="D2678" s="23"/>
      <c r="E2678" s="13"/>
      <c r="F2678" s="70"/>
      <c r="G2678" s="78" t="s">
        <v>121</v>
      </c>
      <c r="H2678" s="75" t="s">
        <v>2323</v>
      </c>
    </row>
    <row r="2679" spans="2:8" hidden="1" outlineLevel="1">
      <c r="B2679" s="76"/>
      <c r="C2679" s="9" t="str">
        <f>$D$5976</f>
        <v>Show</v>
      </c>
      <c r="D2679" s="23"/>
      <c r="E2679" s="13"/>
      <c r="F2679" s="70" t="s">
        <v>621</v>
      </c>
      <c r="G2679" s="12" t="s">
        <v>3450</v>
      </c>
    </row>
    <row r="2680" spans="2:8" hidden="1" outlineLevel="1">
      <c r="B2680" s="76"/>
      <c r="C2680" s="9" t="str">
        <f>C2679</f>
        <v>Show</v>
      </c>
      <c r="D2680" s="23"/>
      <c r="E2680" s="13"/>
      <c r="F2680" s="70"/>
      <c r="G2680" s="78" t="s">
        <v>121</v>
      </c>
      <c r="H2680" s="75" t="s">
        <v>2529</v>
      </c>
    </row>
    <row r="2681" spans="2:8" hidden="1" outlineLevel="1">
      <c r="B2681" s="76"/>
      <c r="C2681" s="9" t="str">
        <f>$D$5980</f>
        <v>Show</v>
      </c>
      <c r="D2681" s="23"/>
      <c r="E2681" s="13"/>
      <c r="F2681" s="70" t="s">
        <v>622</v>
      </c>
      <c r="G2681" s="12" t="s">
        <v>3451</v>
      </c>
    </row>
    <row r="2682" spans="2:8" hidden="1" outlineLevel="1">
      <c r="B2682" s="76"/>
      <c r="C2682" s="9" t="str">
        <f>C2681</f>
        <v>Show</v>
      </c>
      <c r="D2682" s="23"/>
      <c r="E2682" s="13"/>
      <c r="F2682" s="70"/>
      <c r="G2682" s="78" t="s">
        <v>121</v>
      </c>
      <c r="H2682" s="75" t="s">
        <v>2769</v>
      </c>
    </row>
    <row r="2683" spans="2:8" hidden="1" outlineLevel="1">
      <c r="B2683" s="76"/>
      <c r="C2683" s="9" t="str">
        <f>C2666</f>
        <v>Show</v>
      </c>
      <c r="D2683" s="23" t="s">
        <v>613</v>
      </c>
      <c r="E2683" s="13"/>
      <c r="G2683" s="13"/>
    </row>
    <row r="2684" spans="2:8" hidden="1" outlineLevel="1">
      <c r="B2684" s="76"/>
      <c r="C2684" s="9" t="str">
        <f>C2666</f>
        <v>Show</v>
      </c>
      <c r="D2684" s="23"/>
      <c r="E2684" s="12" t="str">
        <f>IF(COUNTIF(C2685:C2698,"Show")&gt;0,"2.1 Product Requirements","No EGC Requirements")</f>
        <v>2.1 Product Requirements</v>
      </c>
      <c r="G2684" s="13"/>
    </row>
    <row r="2685" spans="2:8" hidden="1" outlineLevel="1">
      <c r="B2685" s="76"/>
      <c r="C2685" s="9" t="str">
        <f>$E$5964</f>
        <v>Show</v>
      </c>
      <c r="D2685" s="23"/>
      <c r="E2685" s="12"/>
      <c r="F2685" s="70" t="s">
        <v>119</v>
      </c>
      <c r="G2685" s="12" t="s">
        <v>3410</v>
      </c>
    </row>
    <row r="2686" spans="2:8" hidden="1" outlineLevel="1">
      <c r="B2686" s="76"/>
      <c r="C2686" s="9" t="str">
        <f>C2685</f>
        <v>Show</v>
      </c>
      <c r="D2686" s="23"/>
      <c r="E2686" s="12"/>
      <c r="F2686" s="70"/>
      <c r="G2686" s="30" t="s">
        <v>121</v>
      </c>
      <c r="H2686" s="75" t="s">
        <v>2337</v>
      </c>
    </row>
    <row r="2687" spans="2:8" hidden="1" outlineLevel="1">
      <c r="B2687" s="76"/>
      <c r="C2687" s="9" t="str">
        <f>$E$5965</f>
        <v>Show</v>
      </c>
      <c r="D2687" s="23"/>
      <c r="E2687" s="12"/>
      <c r="F2687" s="70" t="s">
        <v>125</v>
      </c>
      <c r="G2687" s="12" t="s">
        <v>3414</v>
      </c>
    </row>
    <row r="2688" spans="2:8" hidden="1" outlineLevel="1">
      <c r="B2688" s="76"/>
      <c r="C2688" s="9" t="str">
        <f>C2687</f>
        <v>Show</v>
      </c>
      <c r="D2688" s="23"/>
      <c r="E2688" s="12"/>
      <c r="F2688" s="70"/>
      <c r="G2688" s="30" t="s">
        <v>121</v>
      </c>
      <c r="H2688" s="75" t="s">
        <v>2351</v>
      </c>
    </row>
    <row r="2689" spans="2:8" hidden="1" outlineLevel="1">
      <c r="B2689" s="76"/>
      <c r="C2689" s="9" t="str">
        <f>$E$5966</f>
        <v>Show</v>
      </c>
      <c r="D2689" s="23"/>
      <c r="E2689" s="12"/>
      <c r="F2689" s="70" t="s">
        <v>158</v>
      </c>
      <c r="G2689" s="12" t="s">
        <v>3449</v>
      </c>
    </row>
    <row r="2690" spans="2:8" hidden="1" outlineLevel="1">
      <c r="B2690" s="76"/>
      <c r="C2690" s="9" t="str">
        <f>C2689</f>
        <v>Show</v>
      </c>
      <c r="D2690" s="23"/>
      <c r="E2690" s="12"/>
      <c r="G2690" s="30" t="s">
        <v>121</v>
      </c>
      <c r="H2690" s="75" t="s">
        <v>2338</v>
      </c>
    </row>
    <row r="2691" spans="2:8" hidden="1" outlineLevel="1">
      <c r="B2691" s="76"/>
      <c r="C2691" s="9" t="str">
        <f>$E$5973</f>
        <v>Show</v>
      </c>
      <c r="D2691" s="23"/>
      <c r="E2691" s="12"/>
      <c r="F2691" s="70" t="s">
        <v>159</v>
      </c>
      <c r="G2691" s="12" t="s">
        <v>3431</v>
      </c>
    </row>
    <row r="2692" spans="2:8" hidden="1" outlineLevel="1">
      <c r="B2692" s="76"/>
      <c r="C2692" s="9" t="str">
        <f>C2691</f>
        <v>Show</v>
      </c>
      <c r="D2692" s="23"/>
      <c r="E2692" s="12"/>
      <c r="F2692" s="70"/>
      <c r="G2692" s="30" t="s">
        <v>121</v>
      </c>
      <c r="H2692" s="75" t="s">
        <v>2408</v>
      </c>
    </row>
    <row r="2693" spans="2:8" hidden="1" outlineLevel="1">
      <c r="B2693" s="76"/>
      <c r="C2693" s="9" t="str">
        <f>$E$5974</f>
        <v>Show</v>
      </c>
      <c r="D2693" s="23"/>
      <c r="E2693" s="12"/>
      <c r="F2693" s="70" t="s">
        <v>621</v>
      </c>
      <c r="G2693" s="12" t="s">
        <v>3407</v>
      </c>
    </row>
    <row r="2694" spans="2:8" hidden="1" outlineLevel="1">
      <c r="B2694" s="76"/>
      <c r="C2694" s="9" t="str">
        <f>C2693</f>
        <v>Show</v>
      </c>
      <c r="D2694" s="23"/>
      <c r="E2694" s="12"/>
      <c r="F2694" s="70"/>
      <c r="G2694" s="30" t="s">
        <v>121</v>
      </c>
      <c r="H2694" s="75" t="s">
        <v>2698</v>
      </c>
    </row>
    <row r="2695" spans="2:8" hidden="1" outlineLevel="1">
      <c r="B2695" s="76"/>
      <c r="C2695" s="9" t="str">
        <f>$E$5976</f>
        <v>Show</v>
      </c>
      <c r="D2695" s="23"/>
      <c r="E2695" s="12"/>
      <c r="F2695" s="70" t="s">
        <v>622</v>
      </c>
      <c r="G2695" s="12" t="s">
        <v>3450</v>
      </c>
    </row>
    <row r="2696" spans="2:8" hidden="1" outlineLevel="1">
      <c r="B2696" s="76"/>
      <c r="C2696" s="9" t="str">
        <f>C2695</f>
        <v>Show</v>
      </c>
      <c r="D2696" s="23"/>
      <c r="E2696" s="12"/>
      <c r="F2696" s="70"/>
      <c r="G2696" s="30" t="s">
        <v>121</v>
      </c>
      <c r="H2696" s="75" t="s">
        <v>2530</v>
      </c>
    </row>
    <row r="2697" spans="2:8" hidden="1" outlineLevel="1">
      <c r="B2697" s="76"/>
      <c r="C2697" s="9" t="str">
        <f>$E$5980</f>
        <v>Show</v>
      </c>
      <c r="D2697" s="23"/>
      <c r="E2697" s="12"/>
      <c r="F2697" s="70" t="s">
        <v>623</v>
      </c>
      <c r="G2697" s="12" t="s">
        <v>3451</v>
      </c>
    </row>
    <row r="2698" spans="2:8" hidden="1" outlineLevel="1">
      <c r="B2698" s="76"/>
      <c r="C2698" s="9" t="str">
        <f>C2697</f>
        <v>Show</v>
      </c>
      <c r="D2698" s="23"/>
      <c r="E2698" s="12"/>
      <c r="G2698" s="30" t="s">
        <v>121</v>
      </c>
      <c r="H2698" s="75" t="s">
        <v>2768</v>
      </c>
    </row>
    <row r="2699" spans="2:8" hidden="1" outlineLevel="1">
      <c r="B2699" s="76"/>
      <c r="C2699" s="9" t="str">
        <f>C2666</f>
        <v>Show</v>
      </c>
      <c r="D2699" s="23" t="s">
        <v>187</v>
      </c>
      <c r="E2699" s="13"/>
      <c r="G2699" s="13"/>
    </row>
    <row r="2700" spans="2:8" hidden="1" outlineLevel="1">
      <c r="B2700" s="76"/>
      <c r="C2700" s="9" t="str">
        <f>C2666</f>
        <v>Show</v>
      </c>
      <c r="D2700" s="23"/>
      <c r="E2700" s="12" t="str">
        <f>IF(COUNTIF(C2701:C2712,"Show")&gt;0,"3.1 Execution Requirements","No EGC Requirements")</f>
        <v>3.1 Execution Requirements</v>
      </c>
      <c r="G2700" s="13"/>
    </row>
    <row r="2701" spans="2:8" hidden="1" outlineLevel="1">
      <c r="B2701" s="76"/>
      <c r="C2701" s="9" t="str">
        <f>$F$5964</f>
        <v>Show</v>
      </c>
      <c r="D2701" s="23"/>
      <c r="E2701" s="12"/>
      <c r="F2701" s="70" t="s">
        <v>119</v>
      </c>
      <c r="G2701" s="12" t="s">
        <v>3410</v>
      </c>
    </row>
    <row r="2702" spans="2:8" ht="30" hidden="1" outlineLevel="1">
      <c r="B2702" s="76"/>
      <c r="C2702" s="9" t="str">
        <f>C2701</f>
        <v>Show</v>
      </c>
      <c r="D2702" s="23"/>
      <c r="E2702" s="12"/>
      <c r="F2702" s="70"/>
      <c r="G2702" s="30" t="s">
        <v>121</v>
      </c>
      <c r="H2702" s="75" t="s">
        <v>2339</v>
      </c>
    </row>
    <row r="2703" spans="2:8" hidden="1" outlineLevel="1">
      <c r="B2703" s="76"/>
      <c r="C2703" s="9" t="str">
        <f>$F$5965</f>
        <v>Show</v>
      </c>
      <c r="D2703" s="23"/>
      <c r="E2703" s="13"/>
      <c r="F2703" s="70" t="s">
        <v>125</v>
      </c>
      <c r="G2703" s="12" t="s">
        <v>3414</v>
      </c>
    </row>
    <row r="2704" spans="2:8" ht="30" hidden="1" outlineLevel="1">
      <c r="B2704" s="76"/>
      <c r="C2704" s="9" t="str">
        <f>C2703</f>
        <v>Show</v>
      </c>
      <c r="D2704" s="23"/>
      <c r="E2704" s="13"/>
      <c r="F2704" s="70"/>
      <c r="G2704" s="30" t="s">
        <v>121</v>
      </c>
      <c r="H2704" s="75" t="s">
        <v>2352</v>
      </c>
    </row>
    <row r="2705" spans="2:8" hidden="1" outlineLevel="1">
      <c r="B2705" s="76"/>
      <c r="C2705" s="9" t="str">
        <f>$F$5966</f>
        <v>Show</v>
      </c>
      <c r="D2705" s="23"/>
      <c r="E2705" s="13"/>
      <c r="F2705" s="70" t="s">
        <v>158</v>
      </c>
      <c r="G2705" s="12" t="s">
        <v>3449</v>
      </c>
    </row>
    <row r="2706" spans="2:8" hidden="1" outlineLevel="1">
      <c r="B2706" s="76"/>
      <c r="C2706" s="9" t="str">
        <f>C2705</f>
        <v>Show</v>
      </c>
      <c r="D2706" s="23"/>
      <c r="E2706" s="13"/>
      <c r="G2706" s="30" t="s">
        <v>121</v>
      </c>
      <c r="H2706" s="75" t="s">
        <v>2340</v>
      </c>
    </row>
    <row r="2707" spans="2:8" hidden="1" outlineLevel="1">
      <c r="B2707" s="76"/>
      <c r="C2707" s="9" t="str">
        <f>$F$5974</f>
        <v>Show</v>
      </c>
      <c r="D2707" s="23"/>
      <c r="E2707" s="13"/>
      <c r="F2707" s="70" t="s">
        <v>159</v>
      </c>
      <c r="G2707" s="12" t="s">
        <v>3407</v>
      </c>
    </row>
    <row r="2708" spans="2:8" hidden="1" outlineLevel="1">
      <c r="B2708" s="76"/>
      <c r="C2708" s="9" t="str">
        <f>C2707</f>
        <v>Show</v>
      </c>
      <c r="D2708" s="23"/>
      <c r="E2708" s="13"/>
      <c r="F2708" s="70"/>
      <c r="G2708" s="78" t="s">
        <v>121</v>
      </c>
      <c r="H2708" s="75" t="s">
        <v>2324</v>
      </c>
    </row>
    <row r="2709" spans="2:8" hidden="1" outlineLevel="1">
      <c r="B2709" s="76"/>
      <c r="C2709" s="9" t="str">
        <f>$F$5976</f>
        <v>Show</v>
      </c>
      <c r="D2709" s="23"/>
      <c r="E2709" s="13"/>
      <c r="F2709" s="70" t="s">
        <v>621</v>
      </c>
      <c r="G2709" s="12" t="s">
        <v>3450</v>
      </c>
    </row>
    <row r="2710" spans="2:8" hidden="1" outlineLevel="1">
      <c r="B2710" s="76"/>
      <c r="C2710" s="9" t="str">
        <f>C2709</f>
        <v>Show</v>
      </c>
      <c r="D2710" s="23"/>
      <c r="E2710" s="13"/>
      <c r="F2710" s="70"/>
      <c r="G2710" s="78" t="s">
        <v>121</v>
      </c>
      <c r="H2710" s="75" t="s">
        <v>2766</v>
      </c>
    </row>
    <row r="2711" spans="2:8" hidden="1" outlineLevel="1">
      <c r="B2711" s="76"/>
      <c r="C2711" s="9" t="str">
        <f>$F$5980</f>
        <v>Show</v>
      </c>
      <c r="D2711" s="23"/>
      <c r="E2711" s="13"/>
      <c r="F2711" s="70" t="s">
        <v>622</v>
      </c>
      <c r="G2711" s="12" t="s">
        <v>3451</v>
      </c>
    </row>
    <row r="2712" spans="2:8" hidden="1" outlineLevel="1">
      <c r="B2712" s="76"/>
      <c r="C2712" s="9" t="str">
        <f>C2711</f>
        <v>Show</v>
      </c>
      <c r="D2712" s="23"/>
      <c r="E2712" s="13"/>
      <c r="G2712" s="78" t="s">
        <v>121</v>
      </c>
      <c r="H2712" s="75" t="s">
        <v>2770</v>
      </c>
    </row>
    <row r="2713" spans="2:8" hidden="1" outlineLevel="1">
      <c r="B2713" s="76"/>
      <c r="C2713" s="9" t="str">
        <f>C2666</f>
        <v>Show</v>
      </c>
    </row>
    <row r="2714" spans="2:8" collapsed="1">
      <c r="B2714" s="23"/>
      <c r="C2714" s="2" t="str">
        <f>C2715</f>
        <v>Show</v>
      </c>
      <c r="D2714" s="55" t="s">
        <v>1780</v>
      </c>
      <c r="E2714" s="55"/>
      <c r="F2714" s="57" t="s">
        <v>1781</v>
      </c>
      <c r="G2714" s="59"/>
      <c r="H2714" s="58"/>
    </row>
    <row r="2715" spans="2:8" hidden="1" outlineLevel="1">
      <c r="B2715" s="12" t="s">
        <v>2697</v>
      </c>
      <c r="C2715" s="2" t="str">
        <f>IF((COUNTIF(C2719:C2721,"Show")+COUNTIF(C2724:C2725,"Show")+COUNTIF(C2728:C2729,"Show"))&gt;0,"Show","Hide")</f>
        <v>Show</v>
      </c>
      <c r="D2715" s="23" t="s">
        <v>117</v>
      </c>
      <c r="E2715" s="13"/>
      <c r="G2715" s="13"/>
    </row>
    <row r="2716" spans="2:8" hidden="1" outlineLevel="1">
      <c r="B2716" s="12" t="s">
        <v>2697</v>
      </c>
      <c r="C2716" s="9" t="str">
        <f>C2715</f>
        <v>Show</v>
      </c>
      <c r="D2716" s="23"/>
      <c r="E2716" s="13">
        <v>1.1000000000000001</v>
      </c>
      <c r="F2716" s="11" t="s">
        <v>118</v>
      </c>
      <c r="G2716" s="13"/>
    </row>
    <row r="2717" spans="2:8" hidden="1" outlineLevel="1">
      <c r="B2717" s="12" t="s">
        <v>2697</v>
      </c>
      <c r="C2717" s="9" t="str">
        <f>C2716</f>
        <v>Show</v>
      </c>
      <c r="D2717" s="23"/>
      <c r="E2717" s="13"/>
      <c r="F2717" s="70" t="s">
        <v>119</v>
      </c>
      <c r="G2717" s="18" t="s">
        <v>677</v>
      </c>
    </row>
    <row r="2718" spans="2:8" hidden="1" outlineLevel="1">
      <c r="B2718" s="12" t="s">
        <v>2697</v>
      </c>
      <c r="C2718" s="9" t="str">
        <f>C2717</f>
        <v>Show</v>
      </c>
      <c r="D2718" s="23"/>
      <c r="E2718" s="13"/>
      <c r="F2718" s="70"/>
      <c r="G2718" s="78" t="s">
        <v>121</v>
      </c>
      <c r="H2718" s="79" t="s">
        <v>2301</v>
      </c>
    </row>
    <row r="2719" spans="2:8" hidden="1" outlineLevel="1">
      <c r="B2719" s="12" t="s">
        <v>2697</v>
      </c>
      <c r="C2719" s="9" t="str">
        <f>IF(COUNTIF(C2720:C2721,"Show")&gt;0,"Show","Hide")</f>
        <v>Show</v>
      </c>
      <c r="D2719" s="23"/>
      <c r="E2719" s="13">
        <v>1.2</v>
      </c>
      <c r="F2719" s="71" t="s">
        <v>131</v>
      </c>
      <c r="G2719" s="78"/>
    </row>
    <row r="2720" spans="2:8" hidden="1" outlineLevel="1">
      <c r="B2720" s="12" t="s">
        <v>2697</v>
      </c>
      <c r="C2720" s="9" t="str">
        <f>C2391</f>
        <v>Show</v>
      </c>
      <c r="D2720" s="23"/>
      <c r="E2720" s="13"/>
      <c r="F2720" s="70" t="s">
        <v>119</v>
      </c>
      <c r="G2720" s="12" t="s">
        <v>3443</v>
      </c>
    </row>
    <row r="2721" spans="2:8" hidden="1" outlineLevel="1">
      <c r="B2721" s="12" t="s">
        <v>2697</v>
      </c>
      <c r="C2721" s="9" t="str">
        <f>C2720</f>
        <v>Show</v>
      </c>
      <c r="D2721" s="23"/>
      <c r="E2721" s="13"/>
      <c r="F2721" s="70"/>
      <c r="G2721" s="78" t="s">
        <v>121</v>
      </c>
      <c r="H2721" s="75" t="s">
        <v>2546</v>
      </c>
    </row>
    <row r="2722" spans="2:8" hidden="1" outlineLevel="1">
      <c r="B2722" s="12" t="s">
        <v>2697</v>
      </c>
      <c r="C2722" s="9" t="str">
        <f>C2715</f>
        <v>Show</v>
      </c>
      <c r="D2722" s="23" t="s">
        <v>613</v>
      </c>
      <c r="E2722" s="13"/>
      <c r="G2722" s="13"/>
    </row>
    <row r="2723" spans="2:8" hidden="1" outlineLevel="1">
      <c r="B2723" s="12" t="s">
        <v>2697</v>
      </c>
      <c r="C2723" s="9" t="str">
        <f>C2715</f>
        <v>Show</v>
      </c>
      <c r="D2723" s="23"/>
      <c r="E2723" s="12" t="str">
        <f>IF(COUNTIF(C2724:C2725,"Show")&gt;0,"2.1 Product Requirements","No EGC Requirements")</f>
        <v>2.1 Product Requirements</v>
      </c>
      <c r="G2723" s="13"/>
    </row>
    <row r="2724" spans="2:8" hidden="1" outlineLevel="1">
      <c r="B2724" s="12" t="s">
        <v>2697</v>
      </c>
      <c r="C2724" s="9" t="str">
        <f>C2395</f>
        <v>Show</v>
      </c>
      <c r="D2724" s="23"/>
      <c r="E2724" s="12"/>
      <c r="F2724" s="11" t="s">
        <v>119</v>
      </c>
      <c r="G2724" s="12" t="s">
        <v>3443</v>
      </c>
    </row>
    <row r="2725" spans="2:8" hidden="1" outlineLevel="1">
      <c r="B2725" s="12" t="s">
        <v>2697</v>
      </c>
      <c r="C2725" s="9" t="str">
        <f>C2724</f>
        <v>Show</v>
      </c>
      <c r="D2725" s="23"/>
      <c r="E2725" s="12"/>
      <c r="G2725" s="30" t="s">
        <v>121</v>
      </c>
      <c r="H2725" s="75" t="s">
        <v>2548</v>
      </c>
    </row>
    <row r="2726" spans="2:8" hidden="1" outlineLevel="1">
      <c r="B2726" s="12" t="s">
        <v>2697</v>
      </c>
      <c r="C2726" s="9" t="str">
        <f>C2715</f>
        <v>Show</v>
      </c>
      <c r="D2726" s="23" t="s">
        <v>187</v>
      </c>
      <c r="E2726" s="13"/>
      <c r="G2726" s="13"/>
    </row>
    <row r="2727" spans="2:8" hidden="1" outlineLevel="1">
      <c r="B2727" s="12" t="s">
        <v>2697</v>
      </c>
      <c r="C2727" s="9" t="str">
        <f>C2715</f>
        <v>Show</v>
      </c>
      <c r="D2727" s="23"/>
      <c r="E2727" s="12" t="str">
        <f>IF(COUNTIF(C2728:C2729,"Show")&gt;0,"3.1 Execution Requirements","No EGC Requirements")</f>
        <v>3.1 Execution Requirements</v>
      </c>
      <c r="G2727" s="13"/>
    </row>
    <row r="2728" spans="2:8" hidden="1" outlineLevel="1">
      <c r="B2728" s="12" t="s">
        <v>2697</v>
      </c>
      <c r="C2728" s="9" t="str">
        <f>C2399</f>
        <v>Show</v>
      </c>
      <c r="D2728" s="23"/>
      <c r="E2728" s="13"/>
      <c r="F2728" s="70" t="s">
        <v>119</v>
      </c>
      <c r="G2728" s="12" t="s">
        <v>3443</v>
      </c>
    </row>
    <row r="2729" spans="2:8" hidden="1" outlineLevel="1">
      <c r="B2729" s="12" t="s">
        <v>2697</v>
      </c>
      <c r="C2729" s="9" t="str">
        <f>C2728</f>
        <v>Show</v>
      </c>
      <c r="D2729" s="23"/>
      <c r="E2729" s="13"/>
      <c r="G2729" s="78" t="s">
        <v>121</v>
      </c>
      <c r="H2729" s="75" t="s">
        <v>2550</v>
      </c>
    </row>
    <row r="2730" spans="2:8" hidden="1" outlineLevel="1">
      <c r="B2730" s="12" t="s">
        <v>2697</v>
      </c>
      <c r="C2730" s="9" t="str">
        <f>C2715</f>
        <v>Show</v>
      </c>
    </row>
    <row r="2731" spans="2:8" collapsed="1">
      <c r="B2731" s="12" t="s">
        <v>2697</v>
      </c>
      <c r="C2731" s="2" t="str">
        <f>C2732</f>
        <v>Show</v>
      </c>
      <c r="D2731" s="60" t="s">
        <v>1228</v>
      </c>
      <c r="E2731" s="60"/>
      <c r="F2731" s="56" t="s">
        <v>592</v>
      </c>
      <c r="G2731" s="53"/>
      <c r="H2731" s="54"/>
    </row>
    <row r="2732" spans="2:8" hidden="1" outlineLevel="1">
      <c r="B2732" s="12" t="s">
        <v>2697</v>
      </c>
      <c r="C2732" s="2" t="str">
        <f>IF((COUNTIF(C2736:C2746,"Show")+COUNTIF(C2749:C2756,"Show")+COUNTIF(C2759:C2768,"Show"))&gt;0,"Show","Hide")</f>
        <v>Show</v>
      </c>
      <c r="D2732" s="23" t="s">
        <v>117</v>
      </c>
      <c r="E2732" s="13"/>
      <c r="G2732" s="13"/>
    </row>
    <row r="2733" spans="2:8" hidden="1" outlineLevel="1">
      <c r="B2733" s="12" t="s">
        <v>2697</v>
      </c>
      <c r="C2733" s="9" t="str">
        <f>C2732</f>
        <v>Show</v>
      </c>
      <c r="D2733" s="23"/>
      <c r="E2733" s="13">
        <v>1.1000000000000001</v>
      </c>
      <c r="F2733" s="11" t="s">
        <v>118</v>
      </c>
      <c r="G2733" s="13"/>
    </row>
    <row r="2734" spans="2:8" hidden="1" outlineLevel="1">
      <c r="B2734" s="12" t="s">
        <v>2697</v>
      </c>
      <c r="C2734" s="9" t="str">
        <f>C2733</f>
        <v>Show</v>
      </c>
      <c r="D2734" s="23"/>
      <c r="E2734" s="13"/>
      <c r="F2734" s="70" t="s">
        <v>119</v>
      </c>
      <c r="G2734" s="18" t="s">
        <v>677</v>
      </c>
    </row>
    <row r="2735" spans="2:8" hidden="1" outlineLevel="1">
      <c r="B2735" s="12" t="s">
        <v>2697</v>
      </c>
      <c r="C2735" s="9" t="str">
        <f>C2734</f>
        <v>Show</v>
      </c>
      <c r="D2735" s="23"/>
      <c r="E2735" s="13"/>
      <c r="F2735" s="70"/>
      <c r="G2735" s="78" t="s">
        <v>121</v>
      </c>
      <c r="H2735" s="79" t="s">
        <v>2301</v>
      </c>
    </row>
    <row r="2736" spans="2:8" hidden="1" outlineLevel="1">
      <c r="B2736" s="12" t="s">
        <v>2697</v>
      </c>
      <c r="C2736" s="9" t="str">
        <f>IF(COUNTIF(C2737:C2746,"Show")&gt;0,"Show","Hide")</f>
        <v>Show</v>
      </c>
      <c r="D2736" s="23"/>
      <c r="E2736" s="13">
        <v>1.2</v>
      </c>
      <c r="F2736" s="71" t="s">
        <v>131</v>
      </c>
      <c r="G2736" s="78"/>
    </row>
    <row r="2737" spans="2:8" hidden="1" outlineLevel="1">
      <c r="B2737" s="12" t="s">
        <v>2697</v>
      </c>
      <c r="C2737" s="9" t="str">
        <f>$D$5952</f>
        <v>Show</v>
      </c>
      <c r="D2737" s="23"/>
      <c r="E2737" s="13"/>
      <c r="F2737" s="70" t="s">
        <v>119</v>
      </c>
      <c r="G2737" s="12" t="s">
        <v>3452</v>
      </c>
    </row>
    <row r="2738" spans="2:8" hidden="1" outlineLevel="1">
      <c r="B2738" s="12" t="s">
        <v>2697</v>
      </c>
      <c r="C2738" s="9" t="str">
        <f>C2737</f>
        <v>Show</v>
      </c>
      <c r="D2738" s="23"/>
      <c r="E2738" s="13"/>
      <c r="G2738" s="78" t="s">
        <v>121</v>
      </c>
      <c r="H2738" s="75" t="s">
        <v>2771</v>
      </c>
    </row>
    <row r="2739" spans="2:8" hidden="1" outlineLevel="1">
      <c r="B2739" s="12" t="s">
        <v>2697</v>
      </c>
      <c r="C2739" s="9" t="str">
        <f>$D$5953</f>
        <v>Show</v>
      </c>
      <c r="D2739" s="23"/>
      <c r="E2739" s="13"/>
      <c r="F2739" s="70" t="str">
        <f>CHAR(65+(COUNTIF(C$2737:C2738,"Show")/2))&amp;"."</f>
        <v>B.</v>
      </c>
      <c r="G2739" s="12" t="s">
        <v>3438</v>
      </c>
    </row>
    <row r="2740" spans="2:8" hidden="1" outlineLevel="1">
      <c r="B2740" s="12" t="s">
        <v>2697</v>
      </c>
      <c r="C2740" s="9" t="str">
        <f>C2739</f>
        <v>Show</v>
      </c>
      <c r="D2740" s="23"/>
      <c r="E2740" s="13"/>
      <c r="F2740" s="71"/>
      <c r="G2740" s="78" t="s">
        <v>121</v>
      </c>
      <c r="H2740" s="75" t="s">
        <v>2546</v>
      </c>
    </row>
    <row r="2741" spans="2:8" hidden="1" outlineLevel="1">
      <c r="B2741" s="12" t="s">
        <v>2697</v>
      </c>
      <c r="C2741" s="9" t="str">
        <f>$D$5955</f>
        <v>Show</v>
      </c>
      <c r="D2741" s="23"/>
      <c r="E2741" s="13"/>
      <c r="F2741" s="70" t="str">
        <f>CHAR(65+(COUNTIF(C$2737:C2740,"Show")/2))&amp;"."</f>
        <v>C.</v>
      </c>
      <c r="G2741" s="12" t="s">
        <v>3435</v>
      </c>
    </row>
    <row r="2742" spans="2:8" hidden="1" outlineLevel="1">
      <c r="B2742" s="12" t="s">
        <v>2697</v>
      </c>
      <c r="C2742" s="9" t="str">
        <f>C2741</f>
        <v>Show</v>
      </c>
      <c r="D2742" s="23"/>
      <c r="E2742" s="13"/>
      <c r="F2742" s="70"/>
      <c r="G2742" s="78" t="s">
        <v>121</v>
      </c>
      <c r="H2742" s="75" t="s">
        <v>2538</v>
      </c>
    </row>
    <row r="2743" spans="2:8" hidden="1" outlineLevel="1">
      <c r="B2743" s="12" t="s">
        <v>2697</v>
      </c>
      <c r="C2743" s="9" t="str">
        <f>C904</f>
        <v>Show</v>
      </c>
      <c r="D2743" s="23"/>
      <c r="E2743" s="13"/>
      <c r="F2743" s="70" t="str">
        <f>CHAR(65+(COUNTIF(C$2737:C2742,"Show")/2))&amp;"."</f>
        <v>D.</v>
      </c>
      <c r="G2743" s="12" t="s">
        <v>3448</v>
      </c>
    </row>
    <row r="2744" spans="2:8" hidden="1" outlineLevel="1">
      <c r="B2744" s="12" t="s">
        <v>2697</v>
      </c>
      <c r="C2744" s="9" t="str">
        <f>C2743</f>
        <v>Show</v>
      </c>
      <c r="D2744" s="23"/>
      <c r="E2744" s="13"/>
      <c r="F2744" s="70"/>
      <c r="G2744" s="78" t="s">
        <v>121</v>
      </c>
      <c r="H2744" s="75" t="s">
        <v>2407</v>
      </c>
    </row>
    <row r="2745" spans="2:8" hidden="1" outlineLevel="1">
      <c r="B2745" s="12" t="s">
        <v>2697</v>
      </c>
      <c r="C2745" s="9" t="str">
        <f>C906</f>
        <v>Show</v>
      </c>
      <c r="D2745" s="23"/>
      <c r="E2745" s="13"/>
      <c r="F2745" s="70" t="str">
        <f>CHAR(65+(COUNTIF(C$2737:C2744,"Show")/2))&amp;"."</f>
        <v>E.</v>
      </c>
      <c r="G2745" s="12" t="s">
        <v>3416</v>
      </c>
    </row>
    <row r="2746" spans="2:8" hidden="1" outlineLevel="1">
      <c r="B2746" s="12" t="s">
        <v>2697</v>
      </c>
      <c r="C2746" s="9" t="str">
        <f>C2745</f>
        <v>Show</v>
      </c>
      <c r="D2746" s="23"/>
      <c r="E2746" s="13"/>
      <c r="F2746" s="70"/>
      <c r="G2746" s="78" t="s">
        <v>121</v>
      </c>
      <c r="H2746" s="75" t="s">
        <v>2356</v>
      </c>
    </row>
    <row r="2747" spans="2:8" hidden="1" outlineLevel="1">
      <c r="B2747" s="12" t="s">
        <v>2697</v>
      </c>
      <c r="C2747" s="9" t="str">
        <f>C2732</f>
        <v>Show</v>
      </c>
      <c r="D2747" s="23" t="s">
        <v>613</v>
      </c>
      <c r="E2747" s="13"/>
      <c r="G2747" s="13"/>
    </row>
    <row r="2748" spans="2:8" hidden="1" outlineLevel="1">
      <c r="B2748" s="12" t="s">
        <v>2697</v>
      </c>
      <c r="C2748" s="9" t="str">
        <f>C2732</f>
        <v>Show</v>
      </c>
      <c r="D2748" s="23"/>
      <c r="E2748" s="12" t="str">
        <f>IF(COUNTIF(C2749:C2756,"Show")&gt;0,"2.1 Product Requirements","No EGC Requirements")</f>
        <v>2.1 Product Requirements</v>
      </c>
      <c r="G2748" s="13"/>
    </row>
    <row r="2749" spans="2:8" hidden="1" outlineLevel="1">
      <c r="B2749" s="12" t="s">
        <v>2697</v>
      </c>
      <c r="C2749" s="9" t="str">
        <f>E5952</f>
        <v>Show</v>
      </c>
      <c r="D2749" s="23"/>
      <c r="E2749" s="12"/>
      <c r="F2749" s="70" t="s">
        <v>119</v>
      </c>
      <c r="G2749" s="12" t="s">
        <v>3452</v>
      </c>
    </row>
    <row r="2750" spans="2:8" hidden="1" outlineLevel="1">
      <c r="B2750" s="12" t="s">
        <v>2697</v>
      </c>
      <c r="C2750" s="9" t="str">
        <f>C2749</f>
        <v>Show</v>
      </c>
      <c r="D2750" s="23"/>
      <c r="E2750" s="12"/>
      <c r="G2750" s="30" t="s">
        <v>121</v>
      </c>
      <c r="H2750" s="75" t="s">
        <v>2772</v>
      </c>
    </row>
    <row r="2751" spans="2:8" hidden="1" outlineLevel="1">
      <c r="B2751" s="12" t="s">
        <v>2697</v>
      </c>
      <c r="C2751" s="9" t="str">
        <f>E5953</f>
        <v>Show</v>
      </c>
      <c r="D2751" s="23"/>
      <c r="E2751" s="12"/>
      <c r="F2751" s="70" t="str">
        <f>CHAR(65+(COUNTIF(C$2749:C2750,"Show")/2))&amp;"."</f>
        <v>B.</v>
      </c>
      <c r="G2751" s="12" t="s">
        <v>3438</v>
      </c>
    </row>
    <row r="2752" spans="2:8" hidden="1" outlineLevel="1">
      <c r="B2752" s="12" t="s">
        <v>2697</v>
      </c>
      <c r="C2752" s="9" t="str">
        <f>C2751</f>
        <v>Show</v>
      </c>
      <c r="D2752" s="23"/>
      <c r="E2752" s="12"/>
      <c r="F2752" s="70"/>
      <c r="G2752" s="30" t="s">
        <v>121</v>
      </c>
      <c r="H2752" s="75" t="s">
        <v>2548</v>
      </c>
    </row>
    <row r="2753" spans="2:8" hidden="1" outlineLevel="1">
      <c r="B2753" s="12" t="s">
        <v>2697</v>
      </c>
      <c r="C2753" s="9" t="str">
        <f>E5955</f>
        <v>Show</v>
      </c>
      <c r="D2753" s="23"/>
      <c r="E2753" s="12"/>
      <c r="F2753" s="70" t="str">
        <f>CHAR(65+(COUNTIF(C$2749:C2752,"Show")/2))&amp;"."</f>
        <v>C.</v>
      </c>
      <c r="G2753" s="12" t="s">
        <v>3435</v>
      </c>
    </row>
    <row r="2754" spans="2:8" hidden="1" outlineLevel="1">
      <c r="B2754" s="12" t="s">
        <v>2697</v>
      </c>
      <c r="C2754" s="9" t="str">
        <f>C2753</f>
        <v>Show</v>
      </c>
      <c r="D2754" s="23"/>
      <c r="E2754" s="12"/>
      <c r="F2754" s="70"/>
      <c r="G2754" s="30" t="s">
        <v>121</v>
      </c>
      <c r="H2754" s="75" t="s">
        <v>2539</v>
      </c>
    </row>
    <row r="2755" spans="2:8" hidden="1" outlineLevel="1">
      <c r="B2755" s="12" t="s">
        <v>2697</v>
      </c>
      <c r="C2755" s="9" t="str">
        <f>C1214</f>
        <v>Show</v>
      </c>
      <c r="D2755" s="23"/>
      <c r="E2755" s="12"/>
      <c r="F2755" s="70" t="str">
        <f>CHAR(65+(COUNTIF(C$2749:C2754,"Show")/2))&amp;"."</f>
        <v>D.</v>
      </c>
      <c r="G2755" s="12" t="s">
        <v>3448</v>
      </c>
    </row>
    <row r="2756" spans="2:8" hidden="1" outlineLevel="1">
      <c r="B2756" s="12" t="s">
        <v>2697</v>
      </c>
      <c r="C2756" s="9" t="str">
        <f>C2755</f>
        <v>Show</v>
      </c>
      <c r="D2756" s="23"/>
      <c r="E2756" s="12"/>
      <c r="G2756" s="30" t="s">
        <v>121</v>
      </c>
      <c r="H2756" s="75" t="s">
        <v>2409</v>
      </c>
    </row>
    <row r="2757" spans="2:8" hidden="1" outlineLevel="1">
      <c r="B2757" s="12" t="s">
        <v>2697</v>
      </c>
      <c r="C2757" s="9" t="str">
        <f>C2732</f>
        <v>Show</v>
      </c>
      <c r="D2757" s="23" t="s">
        <v>187</v>
      </c>
      <c r="E2757" s="13"/>
      <c r="G2757" s="13"/>
    </row>
    <row r="2758" spans="2:8" hidden="1" outlineLevel="1">
      <c r="B2758" s="12" t="s">
        <v>2697</v>
      </c>
      <c r="C2758" s="9" t="str">
        <f>C2732</f>
        <v>Show</v>
      </c>
      <c r="D2758" s="23"/>
      <c r="E2758" s="12" t="str">
        <f>IF(COUNTIF(C2759:C2768,"Show")&gt;0,"3.1 Execution Requirements","No EGC Requirements")</f>
        <v>3.1 Execution Requirements</v>
      </c>
      <c r="G2758" s="13"/>
    </row>
    <row r="2759" spans="2:8" hidden="1" outlineLevel="1">
      <c r="B2759" s="12" t="s">
        <v>2697</v>
      </c>
      <c r="C2759" s="9" t="str">
        <f>F5952</f>
        <v>Show</v>
      </c>
      <c r="D2759" s="23"/>
      <c r="E2759" s="12"/>
      <c r="F2759" s="70" t="s">
        <v>119</v>
      </c>
      <c r="G2759" s="12" t="s">
        <v>3452</v>
      </c>
    </row>
    <row r="2760" spans="2:8" hidden="1" outlineLevel="1">
      <c r="B2760" s="12" t="s">
        <v>2697</v>
      </c>
      <c r="C2760" s="9" t="str">
        <f>C2759</f>
        <v>Show</v>
      </c>
      <c r="D2760" s="23"/>
      <c r="E2760" s="12"/>
      <c r="G2760" s="78" t="s">
        <v>121</v>
      </c>
      <c r="H2760" s="75" t="s">
        <v>2773</v>
      </c>
    </row>
    <row r="2761" spans="2:8" hidden="1" outlineLevel="1">
      <c r="B2761" s="12" t="s">
        <v>2697</v>
      </c>
      <c r="C2761" s="9" t="str">
        <f>F5953</f>
        <v>Show</v>
      </c>
      <c r="D2761" s="23"/>
      <c r="E2761" s="12"/>
      <c r="F2761" s="70" t="str">
        <f>CHAR(65+(COUNTIF(C$2759:C2760,"Show")/2))&amp;"."</f>
        <v>B.</v>
      </c>
      <c r="G2761" s="12" t="s">
        <v>3438</v>
      </c>
    </row>
    <row r="2762" spans="2:8" hidden="1" outlineLevel="1">
      <c r="B2762" s="12" t="s">
        <v>2697</v>
      </c>
      <c r="C2762" s="9" t="str">
        <f>C2761</f>
        <v>Show</v>
      </c>
      <c r="D2762" s="23"/>
      <c r="E2762" s="12"/>
      <c r="F2762" s="70"/>
      <c r="G2762" s="78" t="s">
        <v>121</v>
      </c>
      <c r="H2762" s="75" t="s">
        <v>2550</v>
      </c>
    </row>
    <row r="2763" spans="2:8" hidden="1" outlineLevel="1">
      <c r="B2763" s="12" t="s">
        <v>2697</v>
      </c>
      <c r="C2763" s="9" t="str">
        <f>F5955</f>
        <v>Show</v>
      </c>
      <c r="D2763" s="23"/>
      <c r="E2763" s="12"/>
      <c r="F2763" s="70" t="str">
        <f>CHAR(65+(COUNTIF(C$2759:C2762,"Show")/2))&amp;"."</f>
        <v>C.</v>
      </c>
      <c r="G2763" s="12" t="s">
        <v>3435</v>
      </c>
    </row>
    <row r="2764" spans="2:8" ht="30" hidden="1" outlineLevel="1">
      <c r="B2764" s="12" t="s">
        <v>2697</v>
      </c>
      <c r="C2764" s="9" t="str">
        <f>C2763</f>
        <v>Show</v>
      </c>
      <c r="D2764" s="23"/>
      <c r="E2764" s="12"/>
      <c r="F2764" s="70"/>
      <c r="G2764" s="78" t="s">
        <v>121</v>
      </c>
      <c r="H2764" s="75" t="s">
        <v>2540</v>
      </c>
    </row>
    <row r="2765" spans="2:8" hidden="1" outlineLevel="1">
      <c r="B2765" s="12" t="s">
        <v>2697</v>
      </c>
      <c r="C2765" s="9" t="str">
        <f>C1606</f>
        <v>Show</v>
      </c>
      <c r="D2765" s="23"/>
      <c r="E2765" s="13"/>
      <c r="F2765" s="70" t="str">
        <f>CHAR(65+(COUNTIF(C$2759:C2764,"Show")/2))&amp;"."</f>
        <v>D.</v>
      </c>
      <c r="G2765" s="12" t="s">
        <v>3448</v>
      </c>
    </row>
    <row r="2766" spans="2:8" ht="30" hidden="1" outlineLevel="1">
      <c r="B2766" s="12" t="s">
        <v>2697</v>
      </c>
      <c r="C2766" s="9" t="str">
        <f>C2765</f>
        <v>Show</v>
      </c>
      <c r="D2766" s="23"/>
      <c r="E2766" s="13"/>
      <c r="F2766" s="70"/>
      <c r="G2766" s="78" t="s">
        <v>121</v>
      </c>
      <c r="H2766" s="75" t="s">
        <v>2762</v>
      </c>
    </row>
    <row r="2767" spans="2:8" hidden="1" outlineLevel="1">
      <c r="B2767" s="12" t="s">
        <v>2697</v>
      </c>
      <c r="C2767" s="9" t="str">
        <f>C1614</f>
        <v>Show</v>
      </c>
      <c r="D2767" s="23"/>
      <c r="E2767" s="13"/>
      <c r="F2767" s="70" t="str">
        <f>CHAR(65+(COUNTIF(C$2759:C2766,"Show")/2))&amp;"."</f>
        <v>E.</v>
      </c>
      <c r="G2767" s="12" t="s">
        <v>3416</v>
      </c>
    </row>
    <row r="2768" spans="2:8" ht="30" hidden="1" outlineLevel="1">
      <c r="B2768" s="12" t="s">
        <v>2697</v>
      </c>
      <c r="C2768" s="9" t="str">
        <f>C2767</f>
        <v>Show</v>
      </c>
      <c r="D2768" s="23"/>
      <c r="E2768" s="13"/>
      <c r="G2768" s="78" t="s">
        <v>121</v>
      </c>
      <c r="H2768" s="75" t="s">
        <v>2763</v>
      </c>
    </row>
    <row r="2769" spans="2:8" hidden="1" outlineLevel="1">
      <c r="B2769" s="12" t="s">
        <v>2697</v>
      </c>
      <c r="C2769" s="9" t="str">
        <f>C2732</f>
        <v>Show</v>
      </c>
    </row>
    <row r="2770" spans="2:8" collapsed="1">
      <c r="B2770" s="12" t="s">
        <v>2697</v>
      </c>
      <c r="C2770" s="2" t="str">
        <f>C2771</f>
        <v>Show</v>
      </c>
      <c r="D2770" s="60" t="s">
        <v>1229</v>
      </c>
      <c r="E2770" s="60"/>
      <c r="F2770" s="56" t="s">
        <v>593</v>
      </c>
      <c r="G2770" s="53"/>
      <c r="H2770" s="54"/>
    </row>
    <row r="2771" spans="2:8" hidden="1" outlineLevel="1">
      <c r="B2771" s="12" t="s">
        <v>2697</v>
      </c>
      <c r="C2771" s="2" t="str">
        <f>IF((COUNTIF(C2775:C2791,"Show")+COUNTIF(C2794:C2805,"Show")+COUNTIF(C2808:C2821,"Show"))&gt;0,"Show","Hide")</f>
        <v>Show</v>
      </c>
      <c r="D2771" s="23" t="s">
        <v>117</v>
      </c>
      <c r="E2771" s="13"/>
      <c r="G2771" s="13"/>
    </row>
    <row r="2772" spans="2:8" hidden="1" outlineLevel="1">
      <c r="B2772" s="12" t="s">
        <v>2697</v>
      </c>
      <c r="C2772" s="9" t="str">
        <f>C2771</f>
        <v>Show</v>
      </c>
      <c r="D2772" s="23"/>
      <c r="E2772" s="13">
        <v>1.1000000000000001</v>
      </c>
      <c r="F2772" s="11" t="s">
        <v>118</v>
      </c>
      <c r="G2772" s="13"/>
    </row>
    <row r="2773" spans="2:8" hidden="1" outlineLevel="1">
      <c r="B2773" s="12" t="s">
        <v>2697</v>
      </c>
      <c r="C2773" s="9" t="str">
        <f>C2772</f>
        <v>Show</v>
      </c>
      <c r="D2773" s="23"/>
      <c r="E2773" s="13"/>
      <c r="F2773" s="70" t="s">
        <v>119</v>
      </c>
      <c r="G2773" s="18" t="s">
        <v>677</v>
      </c>
    </row>
    <row r="2774" spans="2:8" hidden="1" outlineLevel="1">
      <c r="B2774" s="12" t="s">
        <v>2697</v>
      </c>
      <c r="C2774" s="9" t="str">
        <f>C2773</f>
        <v>Show</v>
      </c>
      <c r="D2774" s="23"/>
      <c r="E2774" s="13"/>
      <c r="F2774" s="70"/>
      <c r="G2774" s="78" t="s">
        <v>121</v>
      </c>
      <c r="H2774" s="79" t="s">
        <v>2301</v>
      </c>
    </row>
    <row r="2775" spans="2:8" hidden="1" outlineLevel="1">
      <c r="B2775" s="12" t="s">
        <v>2697</v>
      </c>
      <c r="C2775" s="9" t="str">
        <f>IF(COUNTIF(C2776:C2791,"Show")&gt;0,"Show","Hide")</f>
        <v>Show</v>
      </c>
      <c r="D2775" s="23"/>
      <c r="E2775" s="13">
        <v>1.2</v>
      </c>
      <c r="F2775" s="71" t="s">
        <v>131</v>
      </c>
      <c r="G2775" s="78"/>
    </row>
    <row r="2776" spans="2:8" hidden="1" outlineLevel="1">
      <c r="B2776" s="12" t="s">
        <v>2697</v>
      </c>
      <c r="C2776" s="9" t="str">
        <f>$D$5952</f>
        <v>Show</v>
      </c>
      <c r="D2776" s="23"/>
      <c r="E2776" s="13"/>
      <c r="F2776" s="70" t="s">
        <v>119</v>
      </c>
      <c r="G2776" s="12" t="s">
        <v>3452</v>
      </c>
    </row>
    <row r="2777" spans="2:8" hidden="1" outlineLevel="1">
      <c r="B2777" s="12" t="s">
        <v>2697</v>
      </c>
      <c r="C2777" s="9" t="str">
        <f>C2776</f>
        <v>Show</v>
      </c>
      <c r="D2777" s="23"/>
      <c r="E2777" s="13"/>
      <c r="G2777" s="78" t="s">
        <v>121</v>
      </c>
      <c r="H2777" s="75" t="s">
        <v>2771</v>
      </c>
    </row>
    <row r="2778" spans="2:8" hidden="1" outlineLevel="1">
      <c r="B2778" s="12" t="s">
        <v>2697</v>
      </c>
      <c r="C2778" s="9" t="str">
        <f>$D$5953</f>
        <v>Show</v>
      </c>
      <c r="D2778" s="23"/>
      <c r="E2778" s="13"/>
      <c r="F2778" s="70" t="str">
        <f>IF(C2776="Show","B.","A.")</f>
        <v>B.</v>
      </c>
      <c r="G2778" s="12" t="s">
        <v>3438</v>
      </c>
    </row>
    <row r="2779" spans="2:8" hidden="1" outlineLevel="1">
      <c r="B2779" s="12" t="s">
        <v>2697</v>
      </c>
      <c r="C2779" s="9" t="str">
        <f>C2778</f>
        <v>Show</v>
      </c>
      <c r="D2779" s="23"/>
      <c r="E2779" s="13"/>
      <c r="F2779" s="71"/>
      <c r="G2779" s="78" t="s">
        <v>121</v>
      </c>
      <c r="H2779" s="75" t="s">
        <v>2546</v>
      </c>
    </row>
    <row r="2780" spans="2:8" hidden="1" outlineLevel="1">
      <c r="B2780" s="12" t="s">
        <v>2697</v>
      </c>
      <c r="C2780" s="9" t="str">
        <f>$D$5954</f>
        <v>Show</v>
      </c>
      <c r="D2780" s="23"/>
      <c r="E2780" s="13"/>
      <c r="F2780" s="70" t="str">
        <f>CHAR(65+(COUNTIF(C$2776:C2779,"Show")/2))&amp;"."</f>
        <v>C.</v>
      </c>
      <c r="G2780" s="12" t="s">
        <v>3439</v>
      </c>
    </row>
    <row r="2781" spans="2:8" hidden="1" outlineLevel="1">
      <c r="B2781" s="12" t="s">
        <v>2697</v>
      </c>
      <c r="C2781" s="9" t="str">
        <f>C2780</f>
        <v>Show</v>
      </c>
      <c r="D2781" s="23"/>
      <c r="E2781" s="13"/>
      <c r="F2781" s="70"/>
      <c r="G2781" s="78" t="s">
        <v>121</v>
      </c>
      <c r="H2781" s="75" t="s">
        <v>2547</v>
      </c>
    </row>
    <row r="2782" spans="2:8" hidden="1" outlineLevel="1">
      <c r="B2782" s="12" t="s">
        <v>2697</v>
      </c>
      <c r="C2782" s="9" t="str">
        <f>$D$5955</f>
        <v>Show</v>
      </c>
      <c r="D2782" s="23"/>
      <c r="E2782" s="13"/>
      <c r="F2782" s="70" t="str">
        <f>CHAR(65+(COUNTIF(C$2776:C2781,"Show")/2))&amp;"."</f>
        <v>D.</v>
      </c>
      <c r="G2782" s="12" t="s">
        <v>3435</v>
      </c>
    </row>
    <row r="2783" spans="2:8" hidden="1" outlineLevel="1">
      <c r="B2783" s="12" t="s">
        <v>2697</v>
      </c>
      <c r="C2783" s="9" t="str">
        <f>C2782</f>
        <v>Show</v>
      </c>
      <c r="D2783" s="23"/>
      <c r="E2783" s="13"/>
      <c r="F2783" s="70"/>
      <c r="G2783" s="78" t="s">
        <v>121</v>
      </c>
      <c r="H2783" s="75" t="s">
        <v>2538</v>
      </c>
    </row>
    <row r="2784" spans="2:8" hidden="1" outlineLevel="1">
      <c r="B2784" s="12" t="s">
        <v>2697</v>
      </c>
      <c r="C2784" s="9" t="str">
        <f>$D$5974</f>
        <v>Show</v>
      </c>
      <c r="D2784" s="23"/>
      <c r="E2784" s="13"/>
      <c r="F2784" s="70" t="str">
        <f>CHAR(65+(COUNTIF(C$2776:C2783,"Show")/2))&amp;"."</f>
        <v>E.</v>
      </c>
      <c r="G2784" s="12" t="s">
        <v>3407</v>
      </c>
    </row>
    <row r="2785" spans="2:8" hidden="1" outlineLevel="1">
      <c r="B2785" s="12" t="s">
        <v>2697</v>
      </c>
      <c r="C2785" s="9" t="str">
        <f>C2784</f>
        <v>Show</v>
      </c>
      <c r="D2785" s="23"/>
      <c r="E2785" s="13"/>
      <c r="F2785" s="70"/>
      <c r="G2785" s="78" t="s">
        <v>121</v>
      </c>
      <c r="H2785" s="75" t="s">
        <v>2323</v>
      </c>
    </row>
    <row r="2786" spans="2:8" hidden="1" outlineLevel="1">
      <c r="B2786" s="12" t="s">
        <v>2697</v>
      </c>
      <c r="C2786" s="9" t="str">
        <f>$D$5976</f>
        <v>Show</v>
      </c>
      <c r="D2786" s="23"/>
      <c r="E2786" s="13"/>
      <c r="F2786" s="70" t="str">
        <f>CHAR(65+(COUNTIF(C$2776:C2785,"Show")/2))&amp;"."</f>
        <v>F.</v>
      </c>
      <c r="G2786" s="12" t="s">
        <v>3450</v>
      </c>
    </row>
    <row r="2787" spans="2:8" hidden="1" outlineLevel="1">
      <c r="B2787" s="12" t="s">
        <v>2697</v>
      </c>
      <c r="C2787" s="9" t="str">
        <f>C2786</f>
        <v>Show</v>
      </c>
      <c r="D2787" s="23"/>
      <c r="E2787" s="13"/>
      <c r="F2787" s="70"/>
      <c r="G2787" s="78" t="s">
        <v>121</v>
      </c>
      <c r="H2787" s="75" t="s">
        <v>2529</v>
      </c>
    </row>
    <row r="2788" spans="2:8" hidden="1" outlineLevel="1">
      <c r="B2788" s="12" t="s">
        <v>2697</v>
      </c>
      <c r="C2788" s="9" t="str">
        <f>$D$5986</f>
        <v>Show</v>
      </c>
      <c r="D2788" s="23"/>
      <c r="E2788" s="13"/>
      <c r="F2788" s="70" t="str">
        <f>CHAR(65+(COUNTIF(C$2776:C2787,"Show")/2))&amp;"."</f>
        <v>G.</v>
      </c>
      <c r="G2788" s="12" t="s">
        <v>3448</v>
      </c>
    </row>
    <row r="2789" spans="2:8" hidden="1" outlineLevel="1">
      <c r="B2789" s="12" t="s">
        <v>2697</v>
      </c>
      <c r="C2789" s="9" t="str">
        <f>C2788</f>
        <v>Show</v>
      </c>
      <c r="D2789" s="23"/>
      <c r="E2789" s="13"/>
      <c r="F2789" s="70"/>
      <c r="G2789" s="78" t="s">
        <v>121</v>
      </c>
      <c r="H2789" s="75" t="s">
        <v>2407</v>
      </c>
    </row>
    <row r="2790" spans="2:8" hidden="1" outlineLevel="1">
      <c r="B2790" s="12" t="s">
        <v>2697</v>
      </c>
      <c r="C2790" s="9" t="str">
        <f>$D$5987</f>
        <v>Show</v>
      </c>
      <c r="D2790" s="23"/>
      <c r="E2790" s="13"/>
      <c r="F2790" s="70" t="str">
        <f>CHAR(65+(COUNTIF(C$2776:C2789,"Show")/2))&amp;"."</f>
        <v>H.</v>
      </c>
      <c r="G2790" s="12" t="s">
        <v>3416</v>
      </c>
    </row>
    <row r="2791" spans="2:8" hidden="1" outlineLevel="1">
      <c r="B2791" s="12" t="s">
        <v>2697</v>
      </c>
      <c r="C2791" s="9" t="str">
        <f>C2790</f>
        <v>Show</v>
      </c>
      <c r="D2791" s="23"/>
      <c r="E2791" s="13"/>
      <c r="F2791" s="70"/>
      <c r="G2791" s="78" t="s">
        <v>121</v>
      </c>
      <c r="H2791" s="75" t="s">
        <v>2356</v>
      </c>
    </row>
    <row r="2792" spans="2:8" hidden="1" outlineLevel="1">
      <c r="B2792" s="12" t="s">
        <v>2697</v>
      </c>
      <c r="C2792" s="9" t="str">
        <f>C2771</f>
        <v>Show</v>
      </c>
      <c r="D2792" s="23" t="s">
        <v>613</v>
      </c>
      <c r="E2792" s="13"/>
      <c r="G2792" s="13"/>
    </row>
    <row r="2793" spans="2:8" hidden="1" outlineLevel="1">
      <c r="B2793" s="12" t="s">
        <v>2697</v>
      </c>
      <c r="C2793" s="9" t="str">
        <f>C2771</f>
        <v>Show</v>
      </c>
      <c r="D2793" s="23"/>
      <c r="E2793" s="12" t="str">
        <f>IF(COUNTIF(C2794:C2805,"Show")&gt;0,"2.1 Product Requirements","No EGC Requirements")</f>
        <v>2.1 Product Requirements</v>
      </c>
      <c r="G2793" s="13"/>
    </row>
    <row r="2794" spans="2:8" hidden="1" outlineLevel="1">
      <c r="B2794" s="12" t="s">
        <v>2697</v>
      </c>
      <c r="C2794" s="9" t="str">
        <f>$E$5952</f>
        <v>Show</v>
      </c>
      <c r="D2794" s="23"/>
      <c r="E2794" s="12"/>
      <c r="F2794" s="70" t="s">
        <v>119</v>
      </c>
      <c r="G2794" s="12" t="s">
        <v>3452</v>
      </c>
    </row>
    <row r="2795" spans="2:8" hidden="1" outlineLevel="1">
      <c r="B2795" s="12" t="s">
        <v>2697</v>
      </c>
      <c r="C2795" s="9" t="str">
        <f>C2794</f>
        <v>Show</v>
      </c>
      <c r="D2795" s="23"/>
      <c r="E2795" s="12"/>
      <c r="G2795" s="30" t="s">
        <v>121</v>
      </c>
      <c r="H2795" s="75" t="s">
        <v>2772</v>
      </c>
    </row>
    <row r="2796" spans="2:8" hidden="1" outlineLevel="1">
      <c r="B2796" s="12" t="s">
        <v>2697</v>
      </c>
      <c r="C2796" s="9" t="str">
        <f>$E$5953</f>
        <v>Show</v>
      </c>
      <c r="D2796" s="23"/>
      <c r="E2796" s="12"/>
      <c r="F2796" s="70" t="str">
        <f>CHAR(65+(COUNTIF(C$2794:C2795,"Show")/2))&amp;"."</f>
        <v>B.</v>
      </c>
      <c r="G2796" s="12" t="s">
        <v>3438</v>
      </c>
    </row>
    <row r="2797" spans="2:8" hidden="1" outlineLevel="1">
      <c r="B2797" s="12" t="s">
        <v>2697</v>
      </c>
      <c r="C2797" s="9" t="str">
        <f>C2796</f>
        <v>Show</v>
      </c>
      <c r="D2797" s="23"/>
      <c r="E2797" s="12"/>
      <c r="F2797" s="70"/>
      <c r="G2797" s="30" t="s">
        <v>121</v>
      </c>
      <c r="H2797" s="75" t="s">
        <v>2548</v>
      </c>
    </row>
    <row r="2798" spans="2:8" hidden="1" outlineLevel="1">
      <c r="B2798" s="12" t="s">
        <v>2697</v>
      </c>
      <c r="C2798" s="9" t="str">
        <f>$E$5954</f>
        <v>Show</v>
      </c>
      <c r="D2798" s="23"/>
      <c r="E2798" s="12"/>
      <c r="F2798" s="70" t="str">
        <f>CHAR(65+(COUNTIF(C$2794:C2797,"Show")/2))&amp;"."</f>
        <v>C.</v>
      </c>
      <c r="G2798" s="12" t="s">
        <v>3439</v>
      </c>
    </row>
    <row r="2799" spans="2:8" hidden="1" outlineLevel="1">
      <c r="B2799" s="12" t="s">
        <v>2697</v>
      </c>
      <c r="C2799" s="9" t="str">
        <f>C2798</f>
        <v>Show</v>
      </c>
      <c r="D2799" s="23"/>
      <c r="E2799" s="12"/>
      <c r="F2799" s="70"/>
      <c r="G2799" s="30" t="s">
        <v>121</v>
      </c>
      <c r="H2799" s="75" t="s">
        <v>2549</v>
      </c>
    </row>
    <row r="2800" spans="2:8" hidden="1" outlineLevel="1">
      <c r="B2800" s="12" t="s">
        <v>2697</v>
      </c>
      <c r="C2800" s="9" t="str">
        <f>$E$5955</f>
        <v>Show</v>
      </c>
      <c r="D2800" s="23"/>
      <c r="E2800" s="12"/>
      <c r="F2800" s="70" t="str">
        <f>CHAR(65+(COUNTIF(C$2794:C2799,"Show")/2))&amp;"."</f>
        <v>D.</v>
      </c>
      <c r="G2800" s="12" t="s">
        <v>3435</v>
      </c>
    </row>
    <row r="2801" spans="2:8" hidden="1" outlineLevel="1">
      <c r="B2801" s="12" t="s">
        <v>2697</v>
      </c>
      <c r="C2801" s="9" t="str">
        <f>C2800</f>
        <v>Show</v>
      </c>
      <c r="D2801" s="23"/>
      <c r="E2801" s="12"/>
      <c r="F2801" s="70"/>
      <c r="G2801" s="30" t="s">
        <v>121</v>
      </c>
      <c r="H2801" s="75" t="s">
        <v>2539</v>
      </c>
    </row>
    <row r="2802" spans="2:8" hidden="1" outlineLevel="1">
      <c r="B2802" s="12" t="s">
        <v>2697</v>
      </c>
      <c r="C2802" s="9" t="str">
        <f>$E$5976</f>
        <v>Show</v>
      </c>
      <c r="D2802" s="23"/>
      <c r="E2802" s="12"/>
      <c r="F2802" s="70" t="str">
        <f>CHAR(65+(COUNTIF(C$2794:C2801,"Show")/2))&amp;"."</f>
        <v>E.</v>
      </c>
      <c r="G2802" s="12" t="s">
        <v>3450</v>
      </c>
    </row>
    <row r="2803" spans="2:8" hidden="1" outlineLevel="1">
      <c r="B2803" s="12" t="s">
        <v>2697</v>
      </c>
      <c r="C2803" s="9" t="str">
        <f>C2802</f>
        <v>Show</v>
      </c>
      <c r="D2803" s="23"/>
      <c r="E2803" s="12"/>
      <c r="F2803" s="70"/>
      <c r="G2803" s="30" t="s">
        <v>121</v>
      </c>
      <c r="H2803" s="75" t="s">
        <v>2530</v>
      </c>
    </row>
    <row r="2804" spans="2:8" hidden="1" outlineLevel="1">
      <c r="B2804" s="12" t="s">
        <v>2697</v>
      </c>
      <c r="C2804" s="9" t="str">
        <f>$E$5986</f>
        <v>Show</v>
      </c>
      <c r="D2804" s="23"/>
      <c r="E2804" s="12"/>
      <c r="F2804" s="70" t="str">
        <f>CHAR(65+(COUNTIF(C$2794:C2803,"Show")/2))&amp;"."</f>
        <v>F.</v>
      </c>
      <c r="G2804" s="12" t="s">
        <v>3448</v>
      </c>
    </row>
    <row r="2805" spans="2:8" hidden="1" outlineLevel="1">
      <c r="B2805" s="12" t="s">
        <v>2697</v>
      </c>
      <c r="C2805" s="9" t="str">
        <f>C2804</f>
        <v>Show</v>
      </c>
      <c r="D2805" s="23"/>
      <c r="E2805" s="12"/>
      <c r="G2805" s="30" t="s">
        <v>121</v>
      </c>
      <c r="H2805" s="75" t="s">
        <v>2409</v>
      </c>
    </row>
    <row r="2806" spans="2:8" hidden="1" outlineLevel="1">
      <c r="B2806" s="12" t="s">
        <v>2697</v>
      </c>
      <c r="C2806" s="9" t="str">
        <f>C2771</f>
        <v>Show</v>
      </c>
      <c r="D2806" s="23" t="s">
        <v>187</v>
      </c>
      <c r="E2806" s="13"/>
      <c r="G2806" s="13"/>
    </row>
    <row r="2807" spans="2:8" hidden="1" outlineLevel="1">
      <c r="B2807" s="12" t="s">
        <v>2697</v>
      </c>
      <c r="C2807" s="9" t="str">
        <f>C2771</f>
        <v>Show</v>
      </c>
      <c r="D2807" s="23"/>
      <c r="E2807" s="12" t="str">
        <f>IF(COUNTIF(C2808:C2821,"Show")&gt;0,"3.1 Execution Requirements","No EGC Requirements")</f>
        <v>3.1 Execution Requirements</v>
      </c>
      <c r="G2807" s="13"/>
    </row>
    <row r="2808" spans="2:8" hidden="1" outlineLevel="1">
      <c r="B2808" s="12" t="s">
        <v>2697</v>
      </c>
      <c r="C2808" s="9" t="str">
        <f>$F$5952</f>
        <v>Show</v>
      </c>
      <c r="D2808" s="23"/>
      <c r="E2808" s="12"/>
      <c r="F2808" s="70" t="s">
        <v>119</v>
      </c>
      <c r="G2808" s="12" t="s">
        <v>3452</v>
      </c>
    </row>
    <row r="2809" spans="2:8" hidden="1" outlineLevel="1">
      <c r="B2809" s="12" t="s">
        <v>2697</v>
      </c>
      <c r="C2809" s="9" t="str">
        <f>C2808</f>
        <v>Show</v>
      </c>
      <c r="D2809" s="23"/>
      <c r="E2809" s="12"/>
      <c r="G2809" s="78" t="s">
        <v>121</v>
      </c>
      <c r="H2809" s="75" t="s">
        <v>2773</v>
      </c>
    </row>
    <row r="2810" spans="2:8" hidden="1" outlineLevel="1">
      <c r="B2810" s="12" t="s">
        <v>2697</v>
      </c>
      <c r="C2810" s="9" t="str">
        <f>$F$5953</f>
        <v>Show</v>
      </c>
      <c r="D2810" s="23"/>
      <c r="E2810" s="12"/>
      <c r="F2810" s="70" t="str">
        <f>CHAR(65+(COUNTIF(C$2808:C2809,"Show")/2))&amp;"."</f>
        <v>B.</v>
      </c>
      <c r="G2810" s="12" t="s">
        <v>3438</v>
      </c>
    </row>
    <row r="2811" spans="2:8" hidden="1" outlineLevel="1">
      <c r="B2811" s="12" t="s">
        <v>2697</v>
      </c>
      <c r="C2811" s="9" t="str">
        <f>C2810</f>
        <v>Show</v>
      </c>
      <c r="D2811" s="23"/>
      <c r="E2811" s="12"/>
      <c r="F2811" s="70"/>
      <c r="G2811" s="78" t="s">
        <v>121</v>
      </c>
      <c r="H2811" s="75" t="s">
        <v>2550</v>
      </c>
    </row>
    <row r="2812" spans="2:8" hidden="1" outlineLevel="1">
      <c r="B2812" s="12" t="s">
        <v>2697</v>
      </c>
      <c r="C2812" s="9" t="str">
        <f>$F$5954</f>
        <v>Show</v>
      </c>
      <c r="D2812" s="23"/>
      <c r="E2812" s="12"/>
      <c r="F2812" s="70" t="str">
        <f>CHAR(65+(COUNTIF(C$2808:C2811,"Show")/2))&amp;"."</f>
        <v>C.</v>
      </c>
      <c r="G2812" s="12" t="s">
        <v>3439</v>
      </c>
    </row>
    <row r="2813" spans="2:8" ht="30" hidden="1" outlineLevel="1">
      <c r="B2813" s="12" t="s">
        <v>2697</v>
      </c>
      <c r="C2813" s="9" t="str">
        <f>C2812</f>
        <v>Show</v>
      </c>
      <c r="D2813" s="23"/>
      <c r="E2813" s="12"/>
      <c r="F2813" s="70"/>
      <c r="G2813" s="78" t="s">
        <v>121</v>
      </c>
      <c r="H2813" s="75" t="s">
        <v>2551</v>
      </c>
    </row>
    <row r="2814" spans="2:8" hidden="1" outlineLevel="1">
      <c r="B2814" s="12" t="s">
        <v>2697</v>
      </c>
      <c r="C2814" s="9" t="str">
        <f>$F$5955</f>
        <v>Show</v>
      </c>
      <c r="D2814" s="23"/>
      <c r="E2814" s="12"/>
      <c r="F2814" s="70" t="str">
        <f>CHAR(65+(COUNTIF(C$2808:C2813,"Show")/2))&amp;"."</f>
        <v>D.</v>
      </c>
      <c r="G2814" s="12" t="s">
        <v>3435</v>
      </c>
    </row>
    <row r="2815" spans="2:8" ht="30" hidden="1" outlineLevel="1">
      <c r="B2815" s="12" t="s">
        <v>2697</v>
      </c>
      <c r="C2815" s="9" t="str">
        <f>C2814</f>
        <v>Show</v>
      </c>
      <c r="D2815" s="23"/>
      <c r="E2815" s="12"/>
      <c r="F2815" s="70"/>
      <c r="G2815" s="78" t="s">
        <v>121</v>
      </c>
      <c r="H2815" s="75" t="s">
        <v>2540</v>
      </c>
    </row>
    <row r="2816" spans="2:8" hidden="1" outlineLevel="1">
      <c r="B2816" s="12" t="s">
        <v>2697</v>
      </c>
      <c r="C2816" s="9" t="str">
        <f>$F$5974</f>
        <v>Show</v>
      </c>
      <c r="D2816" s="23"/>
      <c r="E2816" s="12"/>
      <c r="F2816" s="70" t="str">
        <f>CHAR(65+(COUNTIF(C$2808:C2815,"Show")/2))&amp;"."</f>
        <v>E.</v>
      </c>
      <c r="G2816" s="12" t="s">
        <v>3407</v>
      </c>
    </row>
    <row r="2817" spans="2:8" hidden="1" outlineLevel="1">
      <c r="B2817" s="12" t="s">
        <v>2697</v>
      </c>
      <c r="C2817" s="9" t="str">
        <f>C2816</f>
        <v>Show</v>
      </c>
      <c r="D2817" s="23"/>
      <c r="E2817" s="12"/>
      <c r="F2817" s="70"/>
      <c r="G2817" s="78" t="s">
        <v>121</v>
      </c>
      <c r="H2817" s="75" t="s">
        <v>2324</v>
      </c>
    </row>
    <row r="2818" spans="2:8" hidden="1" outlineLevel="1">
      <c r="B2818" s="12" t="s">
        <v>2697</v>
      </c>
      <c r="C2818" s="9" t="str">
        <f>$F$5986</f>
        <v>Show</v>
      </c>
      <c r="D2818" s="23"/>
      <c r="E2818" s="13"/>
      <c r="F2818" s="70" t="str">
        <f>CHAR(65+(COUNTIF(C$2808:C2817,"Show")/2))&amp;"."</f>
        <v>F.</v>
      </c>
      <c r="G2818" s="12" t="s">
        <v>3448</v>
      </c>
    </row>
    <row r="2819" spans="2:8" ht="30" hidden="1" outlineLevel="1">
      <c r="B2819" s="12" t="s">
        <v>2697</v>
      </c>
      <c r="C2819" s="9" t="str">
        <f>C2818</f>
        <v>Show</v>
      </c>
      <c r="D2819" s="23"/>
      <c r="E2819" s="13"/>
      <c r="F2819" s="70"/>
      <c r="G2819" s="78" t="s">
        <v>121</v>
      </c>
      <c r="H2819" s="75" t="s">
        <v>2762</v>
      </c>
    </row>
    <row r="2820" spans="2:8" hidden="1" outlineLevel="1">
      <c r="B2820" s="12" t="s">
        <v>2697</v>
      </c>
      <c r="C2820" s="9" t="str">
        <f>$F$5987</f>
        <v>Show</v>
      </c>
      <c r="D2820" s="23"/>
      <c r="E2820" s="13"/>
      <c r="F2820" s="70" t="str">
        <f>CHAR(65+(COUNTIF(C$2808:C2819,"Show")/2))&amp;"."</f>
        <v>G.</v>
      </c>
      <c r="G2820" s="12" t="s">
        <v>3416</v>
      </c>
    </row>
    <row r="2821" spans="2:8" ht="30" hidden="1" outlineLevel="1">
      <c r="B2821" s="12" t="s">
        <v>2697</v>
      </c>
      <c r="C2821" s="9" t="str">
        <f>C2820</f>
        <v>Show</v>
      </c>
      <c r="D2821" s="23"/>
      <c r="E2821" s="13"/>
      <c r="G2821" s="78" t="s">
        <v>121</v>
      </c>
      <c r="H2821" s="75" t="s">
        <v>2763</v>
      </c>
    </row>
    <row r="2822" spans="2:8" hidden="1" outlineLevel="1">
      <c r="B2822" s="12" t="s">
        <v>2697</v>
      </c>
      <c r="C2822" s="9" t="str">
        <f>C2771</f>
        <v>Show</v>
      </c>
    </row>
    <row r="2823" spans="2:8" collapsed="1">
      <c r="B2823" s="12" t="s">
        <v>2697</v>
      </c>
      <c r="C2823" s="2" t="str">
        <f>C2824</f>
        <v>Show</v>
      </c>
      <c r="D2823" s="55" t="s">
        <v>274</v>
      </c>
      <c r="E2823" s="55"/>
      <c r="F2823" s="57" t="s">
        <v>275</v>
      </c>
      <c r="G2823" s="53"/>
      <c r="H2823" s="54"/>
    </row>
    <row r="2824" spans="2:8" hidden="1" outlineLevel="1">
      <c r="B2824" s="12" t="s">
        <v>2697</v>
      </c>
      <c r="C2824" s="2" t="str">
        <f>IF((COUNTIF(C2828:C2844,"Show")+COUNTIF(C2847:C2860,"Show")+COUNTIF(C2863:C2876,"Show"))&gt;0,"Show","Hide")</f>
        <v>Show</v>
      </c>
      <c r="D2824" s="23" t="s">
        <v>117</v>
      </c>
      <c r="E2824" s="13"/>
      <c r="G2824" s="13"/>
    </row>
    <row r="2825" spans="2:8" hidden="1" outlineLevel="1">
      <c r="B2825" s="12" t="s">
        <v>2697</v>
      </c>
      <c r="C2825" s="9" t="str">
        <f>C2824</f>
        <v>Show</v>
      </c>
      <c r="D2825" s="23"/>
      <c r="E2825" s="13">
        <v>1.1000000000000001</v>
      </c>
      <c r="F2825" s="11" t="s">
        <v>118</v>
      </c>
      <c r="G2825" s="13"/>
    </row>
    <row r="2826" spans="2:8" hidden="1" outlineLevel="1">
      <c r="B2826" s="12" t="s">
        <v>2697</v>
      </c>
      <c r="C2826" s="9" t="str">
        <f>C2825</f>
        <v>Show</v>
      </c>
      <c r="D2826" s="23"/>
      <c r="E2826" s="13"/>
      <c r="F2826" s="70" t="s">
        <v>119</v>
      </c>
      <c r="G2826" s="18" t="s">
        <v>677</v>
      </c>
    </row>
    <row r="2827" spans="2:8" hidden="1" outlineLevel="1">
      <c r="B2827" s="12" t="s">
        <v>2697</v>
      </c>
      <c r="C2827" s="9" t="str">
        <f>C2826</f>
        <v>Show</v>
      </c>
      <c r="D2827" s="23"/>
      <c r="E2827" s="13"/>
      <c r="F2827" s="70"/>
      <c r="G2827" s="78" t="s">
        <v>121</v>
      </c>
      <c r="H2827" s="79" t="s">
        <v>2301</v>
      </c>
    </row>
    <row r="2828" spans="2:8" hidden="1" outlineLevel="1">
      <c r="B2828" s="12" t="s">
        <v>2697</v>
      </c>
      <c r="C2828" s="9" t="str">
        <f>IF(COUNTIF(C2829:C2844,"Show")&gt;0,"Show","Hide")</f>
        <v>Show</v>
      </c>
      <c r="D2828" s="23"/>
      <c r="E2828" s="13">
        <v>1.2</v>
      </c>
      <c r="F2828" s="71" t="s">
        <v>131</v>
      </c>
      <c r="G2828" s="78"/>
    </row>
    <row r="2829" spans="2:8" hidden="1" outlineLevel="1">
      <c r="B2829" s="12" t="s">
        <v>2697</v>
      </c>
      <c r="C2829" s="9" t="str">
        <f>$D$5952</f>
        <v>Show</v>
      </c>
      <c r="D2829" s="23"/>
      <c r="E2829" s="13"/>
      <c r="F2829" s="70" t="s">
        <v>119</v>
      </c>
      <c r="G2829" s="12" t="s">
        <v>3452</v>
      </c>
    </row>
    <row r="2830" spans="2:8" hidden="1" outlineLevel="1">
      <c r="B2830" s="12" t="s">
        <v>2697</v>
      </c>
      <c r="C2830" s="9" t="str">
        <f>C2829</f>
        <v>Show</v>
      </c>
      <c r="D2830" s="23"/>
      <c r="E2830" s="13"/>
      <c r="G2830" s="78" t="s">
        <v>121</v>
      </c>
      <c r="H2830" s="75" t="s">
        <v>2771</v>
      </c>
    </row>
    <row r="2831" spans="2:8" hidden="1" outlineLevel="1">
      <c r="B2831" s="12" t="s">
        <v>2697</v>
      </c>
      <c r="C2831" s="9" t="str">
        <f>$D$5953</f>
        <v>Show</v>
      </c>
      <c r="D2831" s="23"/>
      <c r="E2831" s="13"/>
      <c r="F2831" s="70" t="str">
        <f>IF(C2829="Show","B.","A.")</f>
        <v>B.</v>
      </c>
      <c r="G2831" s="12" t="s">
        <v>3438</v>
      </c>
    </row>
    <row r="2832" spans="2:8" hidden="1" outlineLevel="1">
      <c r="B2832" s="12" t="s">
        <v>2697</v>
      </c>
      <c r="C2832" s="9" t="str">
        <f>C2831</f>
        <v>Show</v>
      </c>
      <c r="D2832" s="23"/>
      <c r="E2832" s="13"/>
      <c r="F2832" s="71"/>
      <c r="G2832" s="78" t="s">
        <v>121</v>
      </c>
      <c r="H2832" s="75" t="s">
        <v>2546</v>
      </c>
    </row>
    <row r="2833" spans="2:8" hidden="1" outlineLevel="1">
      <c r="B2833" s="12" t="s">
        <v>2697</v>
      </c>
      <c r="C2833" s="9" t="str">
        <f>$D$5954</f>
        <v>Show</v>
      </c>
      <c r="D2833" s="23"/>
      <c r="E2833" s="13"/>
      <c r="F2833" s="70" t="str">
        <f>CHAR(65+(COUNTIF(C$2829:C2832,"Show")/2))&amp;"."</f>
        <v>C.</v>
      </c>
      <c r="G2833" s="12" t="s">
        <v>3439</v>
      </c>
    </row>
    <row r="2834" spans="2:8" hidden="1" outlineLevel="1">
      <c r="B2834" s="12" t="s">
        <v>2697</v>
      </c>
      <c r="C2834" s="9" t="str">
        <f>C2833</f>
        <v>Show</v>
      </c>
      <c r="D2834" s="23"/>
      <c r="E2834" s="13"/>
      <c r="F2834" s="70"/>
      <c r="G2834" s="78" t="s">
        <v>121</v>
      </c>
      <c r="H2834" s="75" t="s">
        <v>2547</v>
      </c>
    </row>
    <row r="2835" spans="2:8" hidden="1" outlineLevel="1">
      <c r="B2835" s="12" t="s">
        <v>2697</v>
      </c>
      <c r="C2835" s="9" t="str">
        <f>$D$5955</f>
        <v>Show</v>
      </c>
      <c r="D2835" s="23"/>
      <c r="E2835" s="13"/>
      <c r="F2835" s="70" t="str">
        <f>CHAR(65+(COUNTIF(C$2829:C2834,"Show")/2))&amp;"."</f>
        <v>D.</v>
      </c>
      <c r="G2835" s="12" t="s">
        <v>3435</v>
      </c>
    </row>
    <row r="2836" spans="2:8" hidden="1" outlineLevel="1">
      <c r="B2836" s="12" t="s">
        <v>2697</v>
      </c>
      <c r="C2836" s="9" t="str">
        <f>C2835</f>
        <v>Show</v>
      </c>
      <c r="D2836" s="23"/>
      <c r="E2836" s="13"/>
      <c r="F2836" s="70"/>
      <c r="G2836" s="78" t="s">
        <v>121</v>
      </c>
      <c r="H2836" s="75" t="s">
        <v>2538</v>
      </c>
    </row>
    <row r="2837" spans="2:8" hidden="1" outlineLevel="1">
      <c r="B2837" s="12" t="s">
        <v>2697</v>
      </c>
      <c r="C2837" s="9" t="str">
        <f>$D$5974</f>
        <v>Show</v>
      </c>
      <c r="D2837" s="23"/>
      <c r="E2837" s="13"/>
      <c r="F2837" s="70" t="str">
        <f>CHAR(65+(COUNTIF(C$2829:C2836,"Show")/2))&amp;"."</f>
        <v>E.</v>
      </c>
      <c r="G2837" s="12" t="s">
        <v>3407</v>
      </c>
    </row>
    <row r="2838" spans="2:8" hidden="1" outlineLevel="1">
      <c r="B2838" s="12" t="s">
        <v>2697</v>
      </c>
      <c r="C2838" s="9" t="str">
        <f>C2837</f>
        <v>Show</v>
      </c>
      <c r="D2838" s="23"/>
      <c r="E2838" s="13"/>
      <c r="F2838" s="70"/>
      <c r="G2838" s="78" t="s">
        <v>121</v>
      </c>
      <c r="H2838" s="75" t="s">
        <v>2323</v>
      </c>
    </row>
    <row r="2839" spans="2:8" hidden="1" outlineLevel="1">
      <c r="B2839" s="12" t="s">
        <v>2697</v>
      </c>
      <c r="C2839" s="9" t="str">
        <f>$D$5976</f>
        <v>Show</v>
      </c>
      <c r="D2839" s="23"/>
      <c r="E2839" s="13"/>
      <c r="F2839" s="70" t="str">
        <f>CHAR(65+(COUNTIF(C$2829:C2838,"Show")/2))&amp;"."</f>
        <v>F.</v>
      </c>
      <c r="G2839" s="12" t="s">
        <v>3450</v>
      </c>
    </row>
    <row r="2840" spans="2:8" hidden="1" outlineLevel="1">
      <c r="B2840" s="12" t="s">
        <v>2697</v>
      </c>
      <c r="C2840" s="9" t="str">
        <f>C2839</f>
        <v>Show</v>
      </c>
      <c r="D2840" s="23"/>
      <c r="E2840" s="13"/>
      <c r="F2840" s="70"/>
      <c r="G2840" s="78" t="s">
        <v>121</v>
      </c>
      <c r="H2840" s="75" t="s">
        <v>2529</v>
      </c>
    </row>
    <row r="2841" spans="2:8" hidden="1" outlineLevel="1">
      <c r="B2841" s="12" t="s">
        <v>2697</v>
      </c>
      <c r="C2841" s="9" t="str">
        <f>$D$5986</f>
        <v>Show</v>
      </c>
      <c r="D2841" s="23"/>
      <c r="E2841" s="13"/>
      <c r="F2841" s="70" t="str">
        <f>CHAR(65+(COUNTIF(C$2829:C2840,"Show")/2))&amp;"."</f>
        <v>G.</v>
      </c>
      <c r="G2841" s="12" t="s">
        <v>3448</v>
      </c>
    </row>
    <row r="2842" spans="2:8" hidden="1" outlineLevel="1">
      <c r="B2842" s="12" t="s">
        <v>2697</v>
      </c>
      <c r="C2842" s="9" t="str">
        <f>C2841</f>
        <v>Show</v>
      </c>
      <c r="D2842" s="23"/>
      <c r="E2842" s="13"/>
      <c r="F2842" s="70"/>
      <c r="G2842" s="78" t="s">
        <v>121</v>
      </c>
      <c r="H2842" s="75" t="s">
        <v>2407</v>
      </c>
    </row>
    <row r="2843" spans="2:8" hidden="1" outlineLevel="1">
      <c r="B2843" s="12" t="s">
        <v>2697</v>
      </c>
      <c r="C2843" s="9" t="str">
        <f>$D$5987</f>
        <v>Show</v>
      </c>
      <c r="D2843" s="23"/>
      <c r="E2843" s="13"/>
      <c r="F2843" s="70" t="str">
        <f>CHAR(65+(COUNTIF(C$2829:C2842,"Show")/2))&amp;"."</f>
        <v>H.</v>
      </c>
      <c r="G2843" s="12" t="s">
        <v>3416</v>
      </c>
    </row>
    <row r="2844" spans="2:8" hidden="1" outlineLevel="1">
      <c r="B2844" s="12" t="s">
        <v>2697</v>
      </c>
      <c r="C2844" s="9" t="str">
        <f>C2843</f>
        <v>Show</v>
      </c>
      <c r="D2844" s="23"/>
      <c r="E2844" s="13"/>
      <c r="F2844" s="70"/>
      <c r="G2844" s="78" t="s">
        <v>121</v>
      </c>
      <c r="H2844" s="75" t="s">
        <v>2356</v>
      </c>
    </row>
    <row r="2845" spans="2:8" hidden="1" outlineLevel="1">
      <c r="B2845" s="12" t="s">
        <v>2697</v>
      </c>
      <c r="C2845" s="9" t="str">
        <f>C2824</f>
        <v>Show</v>
      </c>
      <c r="D2845" s="23" t="s">
        <v>613</v>
      </c>
      <c r="E2845" s="13"/>
      <c r="G2845" s="13"/>
    </row>
    <row r="2846" spans="2:8" hidden="1" outlineLevel="1">
      <c r="B2846" s="12" t="s">
        <v>2697</v>
      </c>
      <c r="C2846" s="9" t="str">
        <f>C2824</f>
        <v>Show</v>
      </c>
      <c r="D2846" s="23"/>
      <c r="E2846" s="12" t="str">
        <f>IF(COUNTIF(C2847:C2860,"Show")&gt;0,"2.1 Product Requirements","No EGC Requirements")</f>
        <v>2.1 Product Requirements</v>
      </c>
      <c r="G2846" s="13"/>
    </row>
    <row r="2847" spans="2:8" hidden="1" outlineLevel="1">
      <c r="B2847" s="12" t="s">
        <v>2697</v>
      </c>
      <c r="C2847" s="9" t="str">
        <f>$E$5952</f>
        <v>Show</v>
      </c>
      <c r="D2847" s="23"/>
      <c r="E2847" s="12"/>
      <c r="F2847" s="70" t="s">
        <v>119</v>
      </c>
      <c r="G2847" s="12" t="s">
        <v>3452</v>
      </c>
    </row>
    <row r="2848" spans="2:8" hidden="1" outlineLevel="1">
      <c r="B2848" s="12" t="s">
        <v>2697</v>
      </c>
      <c r="C2848" s="9" t="str">
        <f>C2847</f>
        <v>Show</v>
      </c>
      <c r="D2848" s="23"/>
      <c r="E2848" s="12"/>
      <c r="G2848" s="30" t="s">
        <v>121</v>
      </c>
      <c r="H2848" s="75" t="s">
        <v>2772</v>
      </c>
    </row>
    <row r="2849" spans="2:8" hidden="1" outlineLevel="1">
      <c r="B2849" s="12" t="s">
        <v>2697</v>
      </c>
      <c r="C2849" s="9" t="str">
        <f>$E$5953</f>
        <v>Show</v>
      </c>
      <c r="D2849" s="23"/>
      <c r="E2849" s="12"/>
      <c r="F2849" s="70" t="str">
        <f>CHAR(65+(COUNTIF(C$2847:C2848,"Show")/2))&amp;"."</f>
        <v>B.</v>
      </c>
      <c r="G2849" s="12" t="s">
        <v>3438</v>
      </c>
    </row>
    <row r="2850" spans="2:8" hidden="1" outlineLevel="1">
      <c r="B2850" s="12" t="s">
        <v>2697</v>
      </c>
      <c r="C2850" s="9" t="str">
        <f>C2849</f>
        <v>Show</v>
      </c>
      <c r="D2850" s="23"/>
      <c r="E2850" s="12"/>
      <c r="F2850" s="70"/>
      <c r="G2850" s="30" t="s">
        <v>121</v>
      </c>
      <c r="H2850" s="75" t="s">
        <v>2548</v>
      </c>
    </row>
    <row r="2851" spans="2:8" hidden="1" outlineLevel="1">
      <c r="B2851" s="12" t="s">
        <v>2697</v>
      </c>
      <c r="C2851" s="9" t="str">
        <f>$E$5954</f>
        <v>Show</v>
      </c>
      <c r="D2851" s="23"/>
      <c r="E2851" s="12"/>
      <c r="F2851" s="70" t="str">
        <f>CHAR(65+(COUNTIF(C$2847:C2850,"Show")/2))&amp;"."</f>
        <v>C.</v>
      </c>
      <c r="G2851" s="12" t="s">
        <v>3439</v>
      </c>
    </row>
    <row r="2852" spans="2:8" hidden="1" outlineLevel="1">
      <c r="B2852" s="12" t="s">
        <v>2697</v>
      </c>
      <c r="C2852" s="9" t="str">
        <f>C2851</f>
        <v>Show</v>
      </c>
      <c r="D2852" s="23"/>
      <c r="E2852" s="12"/>
      <c r="F2852" s="70"/>
      <c r="G2852" s="30" t="s">
        <v>121</v>
      </c>
      <c r="H2852" s="75" t="s">
        <v>2549</v>
      </c>
    </row>
    <row r="2853" spans="2:8" hidden="1" outlineLevel="1">
      <c r="B2853" s="12" t="s">
        <v>2697</v>
      </c>
      <c r="C2853" s="9" t="str">
        <f>$E$5955</f>
        <v>Show</v>
      </c>
      <c r="D2853" s="23"/>
      <c r="E2853" s="12"/>
      <c r="F2853" s="70" t="str">
        <f>CHAR(65+(COUNTIF(C$2847:C2852,"Show")/2))&amp;"."</f>
        <v>D.</v>
      </c>
      <c r="G2853" s="12" t="s">
        <v>3435</v>
      </c>
    </row>
    <row r="2854" spans="2:8" hidden="1" outlineLevel="1">
      <c r="B2854" s="12" t="s">
        <v>2697</v>
      </c>
      <c r="C2854" s="9" t="str">
        <f>C2853</f>
        <v>Show</v>
      </c>
      <c r="D2854" s="23"/>
      <c r="E2854" s="12"/>
      <c r="F2854" s="70"/>
      <c r="G2854" s="30" t="s">
        <v>121</v>
      </c>
      <c r="H2854" s="75" t="s">
        <v>2539</v>
      </c>
    </row>
    <row r="2855" spans="2:8" hidden="1" outlineLevel="1">
      <c r="B2855" s="12" t="s">
        <v>2697</v>
      </c>
      <c r="C2855" s="9" t="str">
        <f>$E$5973</f>
        <v>Show</v>
      </c>
      <c r="D2855" s="23"/>
      <c r="E2855" s="12"/>
      <c r="F2855" s="70" t="str">
        <f>CHAR(65+(COUNTIF(C$2847:C2854,"Show")/2))&amp;"."</f>
        <v>E.</v>
      </c>
      <c r="G2855" s="12" t="s">
        <v>3431</v>
      </c>
    </row>
    <row r="2856" spans="2:8" hidden="1" outlineLevel="1">
      <c r="B2856" s="12" t="s">
        <v>2697</v>
      </c>
      <c r="C2856" s="9" t="str">
        <f>C2855</f>
        <v>Show</v>
      </c>
      <c r="D2856" s="23"/>
      <c r="E2856" s="12"/>
      <c r="F2856" s="70"/>
      <c r="G2856" s="30" t="s">
        <v>121</v>
      </c>
      <c r="H2856" s="75" t="s">
        <v>2408</v>
      </c>
    </row>
    <row r="2857" spans="2:8" hidden="1" outlineLevel="1">
      <c r="B2857" s="12" t="s">
        <v>2697</v>
      </c>
      <c r="C2857" s="9" t="str">
        <f>$E$5976</f>
        <v>Show</v>
      </c>
      <c r="D2857" s="23"/>
      <c r="E2857" s="12"/>
      <c r="F2857" s="70" t="str">
        <f>CHAR(65+(COUNTIF(C$2847:C2856,"Show")/2))&amp;"."</f>
        <v>F.</v>
      </c>
      <c r="G2857" s="12" t="s">
        <v>3450</v>
      </c>
    </row>
    <row r="2858" spans="2:8" hidden="1" outlineLevel="1">
      <c r="B2858" s="12" t="s">
        <v>2697</v>
      </c>
      <c r="C2858" s="9" t="str">
        <f>C2857</f>
        <v>Show</v>
      </c>
      <c r="D2858" s="23"/>
      <c r="E2858" s="12"/>
      <c r="F2858" s="70"/>
      <c r="G2858" s="30" t="s">
        <v>121</v>
      </c>
      <c r="H2858" s="75" t="s">
        <v>2530</v>
      </c>
    </row>
    <row r="2859" spans="2:8" hidden="1" outlineLevel="1">
      <c r="B2859" s="12" t="s">
        <v>2697</v>
      </c>
      <c r="C2859" s="9" t="str">
        <f>$E$5986</f>
        <v>Show</v>
      </c>
      <c r="D2859" s="23"/>
      <c r="E2859" s="12"/>
      <c r="F2859" s="70" t="str">
        <f>CHAR(65+(COUNTIF(C$2847:C2858,"Show")/2))&amp;"."</f>
        <v>G.</v>
      </c>
      <c r="G2859" s="12" t="s">
        <v>3448</v>
      </c>
    </row>
    <row r="2860" spans="2:8" hidden="1" outlineLevel="1">
      <c r="B2860" s="12" t="s">
        <v>2697</v>
      </c>
      <c r="C2860" s="9" t="str">
        <f>C2859</f>
        <v>Show</v>
      </c>
      <c r="D2860" s="23"/>
      <c r="E2860" s="12"/>
      <c r="G2860" s="30" t="s">
        <v>121</v>
      </c>
      <c r="H2860" s="75" t="s">
        <v>2409</v>
      </c>
    </row>
    <row r="2861" spans="2:8" hidden="1" outlineLevel="1">
      <c r="B2861" s="12" t="s">
        <v>2697</v>
      </c>
      <c r="C2861" s="9" t="str">
        <f>C2824</f>
        <v>Show</v>
      </c>
      <c r="D2861" s="23" t="s">
        <v>187</v>
      </c>
      <c r="E2861" s="13"/>
      <c r="G2861" s="13"/>
    </row>
    <row r="2862" spans="2:8" hidden="1" outlineLevel="1">
      <c r="B2862" s="12" t="s">
        <v>2697</v>
      </c>
      <c r="C2862" s="9" t="str">
        <f>C2824</f>
        <v>Show</v>
      </c>
      <c r="D2862" s="23"/>
      <c r="E2862" s="12" t="str">
        <f>IF(COUNTIF(C2863:C2876,"Show")&gt;0,"3.1 Execution Requirements","No EGC Requirements")</f>
        <v>3.1 Execution Requirements</v>
      </c>
      <c r="G2862" s="13"/>
    </row>
    <row r="2863" spans="2:8" hidden="1" outlineLevel="1">
      <c r="B2863" s="12" t="s">
        <v>2697</v>
      </c>
      <c r="C2863" s="9" t="str">
        <f>$F$5952</f>
        <v>Show</v>
      </c>
      <c r="D2863" s="23"/>
      <c r="E2863" s="12"/>
      <c r="F2863" s="70" t="s">
        <v>119</v>
      </c>
      <c r="G2863" s="12" t="s">
        <v>3452</v>
      </c>
    </row>
    <row r="2864" spans="2:8" hidden="1" outlineLevel="1">
      <c r="B2864" s="12" t="s">
        <v>2697</v>
      </c>
      <c r="C2864" s="9" t="str">
        <f>C2863</f>
        <v>Show</v>
      </c>
      <c r="D2864" s="23"/>
      <c r="E2864" s="12"/>
      <c r="G2864" s="78" t="s">
        <v>121</v>
      </c>
      <c r="H2864" s="75" t="s">
        <v>2773</v>
      </c>
    </row>
    <row r="2865" spans="2:8" hidden="1" outlineLevel="1">
      <c r="B2865" s="12" t="s">
        <v>2697</v>
      </c>
      <c r="C2865" s="9" t="str">
        <f>$F$5953</f>
        <v>Show</v>
      </c>
      <c r="D2865" s="23"/>
      <c r="E2865" s="12"/>
      <c r="F2865" s="70" t="str">
        <f>CHAR(65+(COUNTIF(C$2863:C2864,"Show")/2))&amp;"."</f>
        <v>B.</v>
      </c>
      <c r="G2865" s="12" t="s">
        <v>3438</v>
      </c>
    </row>
    <row r="2866" spans="2:8" hidden="1" outlineLevel="1">
      <c r="B2866" s="12" t="s">
        <v>2697</v>
      </c>
      <c r="C2866" s="9" t="str">
        <f>C2865</f>
        <v>Show</v>
      </c>
      <c r="D2866" s="23"/>
      <c r="E2866" s="12"/>
      <c r="F2866" s="70"/>
      <c r="G2866" s="78" t="s">
        <v>121</v>
      </c>
      <c r="H2866" s="75" t="s">
        <v>2550</v>
      </c>
    </row>
    <row r="2867" spans="2:8" hidden="1" outlineLevel="1">
      <c r="B2867" s="12" t="s">
        <v>2697</v>
      </c>
      <c r="C2867" s="9" t="str">
        <f>$F$5954</f>
        <v>Show</v>
      </c>
      <c r="D2867" s="23"/>
      <c r="E2867" s="12"/>
      <c r="F2867" s="70" t="str">
        <f>CHAR(65+(COUNTIF(C$2863:C2866,"Show")/2))&amp;"."</f>
        <v>C.</v>
      </c>
      <c r="G2867" s="12" t="s">
        <v>3439</v>
      </c>
    </row>
    <row r="2868" spans="2:8" ht="30" hidden="1" outlineLevel="1">
      <c r="B2868" s="12" t="s">
        <v>2697</v>
      </c>
      <c r="C2868" s="9" t="str">
        <f>C2867</f>
        <v>Show</v>
      </c>
      <c r="D2868" s="23"/>
      <c r="E2868" s="12"/>
      <c r="F2868" s="70"/>
      <c r="G2868" s="78" t="s">
        <v>121</v>
      </c>
      <c r="H2868" s="75" t="s">
        <v>2551</v>
      </c>
    </row>
    <row r="2869" spans="2:8" hidden="1" outlineLevel="1">
      <c r="B2869" s="12" t="s">
        <v>2697</v>
      </c>
      <c r="C2869" s="9" t="str">
        <f>$F$5955</f>
        <v>Show</v>
      </c>
      <c r="D2869" s="23"/>
      <c r="E2869" s="12"/>
      <c r="F2869" s="70" t="str">
        <f>CHAR(65+(COUNTIF(C$2863:C2868,"Show")/2))&amp;"."</f>
        <v>D.</v>
      </c>
      <c r="G2869" s="12" t="s">
        <v>3435</v>
      </c>
    </row>
    <row r="2870" spans="2:8" ht="30" hidden="1" outlineLevel="1">
      <c r="B2870" s="12" t="s">
        <v>2697</v>
      </c>
      <c r="C2870" s="9" t="str">
        <f>C2869</f>
        <v>Show</v>
      </c>
      <c r="D2870" s="23"/>
      <c r="E2870" s="12"/>
      <c r="F2870" s="70"/>
      <c r="G2870" s="78" t="s">
        <v>121</v>
      </c>
      <c r="H2870" s="75" t="s">
        <v>2540</v>
      </c>
    </row>
    <row r="2871" spans="2:8" hidden="1" outlineLevel="1">
      <c r="B2871" s="12" t="s">
        <v>2697</v>
      </c>
      <c r="C2871" s="9" t="str">
        <f>$F$5974</f>
        <v>Show</v>
      </c>
      <c r="D2871" s="23"/>
      <c r="E2871" s="12"/>
      <c r="F2871" s="70" t="str">
        <f>CHAR(65+(COUNTIF(C$2863:C2870,"Show")/2))&amp;"."</f>
        <v>E.</v>
      </c>
      <c r="G2871" s="12" t="s">
        <v>3407</v>
      </c>
    </row>
    <row r="2872" spans="2:8" hidden="1" outlineLevel="1">
      <c r="B2872" s="12" t="s">
        <v>2697</v>
      </c>
      <c r="C2872" s="9" t="str">
        <f>C2871</f>
        <v>Show</v>
      </c>
      <c r="D2872" s="23"/>
      <c r="E2872" s="12"/>
      <c r="F2872" s="70"/>
      <c r="G2872" s="78" t="s">
        <v>121</v>
      </c>
      <c r="H2872" s="75" t="s">
        <v>2324</v>
      </c>
    </row>
    <row r="2873" spans="2:8" hidden="1" outlineLevel="1">
      <c r="B2873" s="12" t="s">
        <v>2697</v>
      </c>
      <c r="C2873" s="9" t="str">
        <f>$F$5986</f>
        <v>Show</v>
      </c>
      <c r="D2873" s="23"/>
      <c r="E2873" s="13"/>
      <c r="F2873" s="70" t="str">
        <f>CHAR(65+(COUNTIF(C$2863:C2872,"Show")/2))&amp;"."</f>
        <v>F.</v>
      </c>
      <c r="G2873" s="12" t="s">
        <v>3448</v>
      </c>
    </row>
    <row r="2874" spans="2:8" ht="30" hidden="1" outlineLevel="1">
      <c r="B2874" s="12" t="s">
        <v>2697</v>
      </c>
      <c r="C2874" s="9" t="str">
        <f>C2873</f>
        <v>Show</v>
      </c>
      <c r="D2874" s="23"/>
      <c r="E2874" s="13"/>
      <c r="F2874" s="70"/>
      <c r="G2874" s="78" t="s">
        <v>121</v>
      </c>
      <c r="H2874" s="75" t="s">
        <v>2762</v>
      </c>
    </row>
    <row r="2875" spans="2:8" hidden="1" outlineLevel="1">
      <c r="B2875" s="12" t="s">
        <v>2697</v>
      </c>
      <c r="C2875" s="9" t="str">
        <f>$F$5987</f>
        <v>Show</v>
      </c>
      <c r="D2875" s="23"/>
      <c r="E2875" s="13"/>
      <c r="F2875" s="70" t="str">
        <f>CHAR(65+(COUNTIF(C$2863:C2874,"Show")/2))&amp;"."</f>
        <v>G.</v>
      </c>
      <c r="G2875" s="12" t="s">
        <v>3416</v>
      </c>
    </row>
    <row r="2876" spans="2:8" ht="30" hidden="1" outlineLevel="1">
      <c r="B2876" s="12" t="s">
        <v>2697</v>
      </c>
      <c r="C2876" s="9" t="str">
        <f>C2875</f>
        <v>Show</v>
      </c>
      <c r="D2876" s="23"/>
      <c r="E2876" s="13"/>
      <c r="G2876" s="78" t="s">
        <v>121</v>
      </c>
      <c r="H2876" s="75" t="s">
        <v>2763</v>
      </c>
    </row>
    <row r="2877" spans="2:8" hidden="1" outlineLevel="1">
      <c r="B2877" s="12" t="s">
        <v>2697</v>
      </c>
      <c r="C2877" s="9" t="str">
        <f>C2824</f>
        <v>Show</v>
      </c>
    </row>
    <row r="2878" spans="2:8" collapsed="1">
      <c r="B2878" s="12" t="s">
        <v>2697</v>
      </c>
      <c r="C2878" s="2" t="str">
        <f>C2879</f>
        <v>Show</v>
      </c>
      <c r="D2878" s="60" t="s">
        <v>276</v>
      </c>
      <c r="E2878" s="60"/>
      <c r="F2878" s="56" t="s">
        <v>594</v>
      </c>
      <c r="G2878" s="53"/>
      <c r="H2878" s="54"/>
    </row>
    <row r="2879" spans="2:8" hidden="1" outlineLevel="1">
      <c r="B2879" s="12" t="s">
        <v>2697</v>
      </c>
      <c r="C2879" s="2" t="str">
        <f>IF((COUNTIF(C2883:C2887,"Show")+COUNTIF(C2890:C2893,"Show")+COUNTIF(C2896:C2899,"Show"))&gt;0,"Show","Hide")</f>
        <v>Show</v>
      </c>
      <c r="D2879" s="23" t="s">
        <v>117</v>
      </c>
      <c r="E2879" s="13"/>
      <c r="G2879" s="13"/>
    </row>
    <row r="2880" spans="2:8" hidden="1" outlineLevel="1">
      <c r="B2880" s="12" t="s">
        <v>2697</v>
      </c>
      <c r="C2880" s="9" t="str">
        <f>C2879</f>
        <v>Show</v>
      </c>
      <c r="D2880" s="23"/>
      <c r="E2880" s="13">
        <v>1.1000000000000001</v>
      </c>
      <c r="F2880" s="11" t="s">
        <v>118</v>
      </c>
      <c r="G2880" s="13"/>
    </row>
    <row r="2881" spans="2:8" hidden="1" outlineLevel="1">
      <c r="B2881" s="12" t="s">
        <v>2697</v>
      </c>
      <c r="C2881" s="9" t="str">
        <f>C2880</f>
        <v>Show</v>
      </c>
      <c r="D2881" s="23"/>
      <c r="E2881" s="13"/>
      <c r="F2881" s="70" t="s">
        <v>119</v>
      </c>
      <c r="G2881" s="18" t="s">
        <v>677</v>
      </c>
    </row>
    <row r="2882" spans="2:8" hidden="1" outlineLevel="1">
      <c r="B2882" s="12" t="s">
        <v>2697</v>
      </c>
      <c r="C2882" s="9" t="str">
        <f>C2881</f>
        <v>Show</v>
      </c>
      <c r="D2882" s="23"/>
      <c r="E2882" s="13"/>
      <c r="F2882" s="70"/>
      <c r="G2882" s="78" t="s">
        <v>121</v>
      </c>
      <c r="H2882" s="79" t="s">
        <v>2301</v>
      </c>
    </row>
    <row r="2883" spans="2:8" hidden="1" outlineLevel="1">
      <c r="B2883" s="12" t="s">
        <v>2697</v>
      </c>
      <c r="C2883" s="9" t="str">
        <f>IF(COUNTIF(C2884:C2887,"Show")&gt;0,"Show","Hide")</f>
        <v>Show</v>
      </c>
      <c r="D2883" s="23"/>
      <c r="E2883" s="13">
        <v>1.2</v>
      </c>
      <c r="F2883" s="71" t="s">
        <v>131</v>
      </c>
      <c r="G2883" s="78"/>
    </row>
    <row r="2884" spans="2:8" hidden="1" outlineLevel="1">
      <c r="B2884" s="12" t="s">
        <v>2697</v>
      </c>
      <c r="C2884" s="9" t="str">
        <f>$D$5952</f>
        <v>Show</v>
      </c>
      <c r="D2884" s="23"/>
      <c r="E2884" s="13"/>
      <c r="F2884" s="70" t="s">
        <v>119</v>
      </c>
      <c r="G2884" s="12" t="s">
        <v>3452</v>
      </c>
    </row>
    <row r="2885" spans="2:8" hidden="1" outlineLevel="1">
      <c r="B2885" s="12" t="s">
        <v>2697</v>
      </c>
      <c r="C2885" s="9" t="str">
        <f>C2884</f>
        <v>Show</v>
      </c>
      <c r="D2885" s="23"/>
      <c r="E2885" s="13"/>
      <c r="G2885" s="78" t="s">
        <v>121</v>
      </c>
      <c r="H2885" s="75" t="s">
        <v>2771</v>
      </c>
    </row>
    <row r="2886" spans="2:8" hidden="1" outlineLevel="1">
      <c r="B2886" s="12" t="s">
        <v>2697</v>
      </c>
      <c r="C2886" s="9" t="str">
        <f>$D$5953</f>
        <v>Show</v>
      </c>
      <c r="D2886" s="23"/>
      <c r="E2886" s="13"/>
      <c r="F2886" s="70" t="str">
        <f>IF(C2884="Show","B.","A.")</f>
        <v>B.</v>
      </c>
      <c r="G2886" s="12" t="s">
        <v>3438</v>
      </c>
    </row>
    <row r="2887" spans="2:8" hidden="1" outlineLevel="1">
      <c r="B2887" s="12" t="s">
        <v>2697</v>
      </c>
      <c r="C2887" s="9" t="str">
        <f>C2886</f>
        <v>Show</v>
      </c>
      <c r="D2887" s="23"/>
      <c r="E2887" s="13"/>
      <c r="F2887" s="71"/>
      <c r="G2887" s="78" t="s">
        <v>121</v>
      </c>
      <c r="H2887" s="75" t="s">
        <v>2546</v>
      </c>
    </row>
    <row r="2888" spans="2:8" hidden="1" outlineLevel="1">
      <c r="B2888" s="12" t="s">
        <v>2697</v>
      </c>
      <c r="C2888" s="9" t="str">
        <f>C2879</f>
        <v>Show</v>
      </c>
      <c r="D2888" s="23" t="s">
        <v>613</v>
      </c>
      <c r="E2888" s="13"/>
      <c r="G2888" s="13"/>
    </row>
    <row r="2889" spans="2:8" hidden="1" outlineLevel="1">
      <c r="B2889" s="12" t="s">
        <v>2697</v>
      </c>
      <c r="C2889" s="9" t="str">
        <f>C2879</f>
        <v>Show</v>
      </c>
      <c r="D2889" s="23"/>
      <c r="E2889" s="12" t="str">
        <f>IF(COUNTIF(C2890:C2893,"Show")&gt;0,"2.1 Product Requirements","No EGC Requirements")</f>
        <v>2.1 Product Requirements</v>
      </c>
      <c r="G2889" s="13"/>
    </row>
    <row r="2890" spans="2:8" hidden="1" outlineLevel="1">
      <c r="B2890" s="12" t="s">
        <v>2697</v>
      </c>
      <c r="C2890" s="9" t="str">
        <f>$E$5952</f>
        <v>Show</v>
      </c>
      <c r="D2890" s="23"/>
      <c r="E2890" s="12"/>
      <c r="F2890" s="70" t="s">
        <v>119</v>
      </c>
      <c r="G2890" s="12" t="s">
        <v>3452</v>
      </c>
    </row>
    <row r="2891" spans="2:8" hidden="1" outlineLevel="1">
      <c r="B2891" s="12" t="s">
        <v>2697</v>
      </c>
      <c r="C2891" s="9" t="str">
        <f>C2890</f>
        <v>Show</v>
      </c>
      <c r="D2891" s="23"/>
      <c r="E2891" s="12"/>
      <c r="G2891" s="30" t="s">
        <v>121</v>
      </c>
      <c r="H2891" s="75" t="s">
        <v>2772</v>
      </c>
    </row>
    <row r="2892" spans="2:8" hidden="1" outlineLevel="1">
      <c r="B2892" s="12" t="s">
        <v>2697</v>
      </c>
      <c r="C2892" s="9" t="str">
        <f>$E$5953</f>
        <v>Show</v>
      </c>
      <c r="D2892" s="23"/>
      <c r="E2892" s="12"/>
      <c r="F2892" s="70" t="str">
        <f>CHAR(65+(COUNTIF(C$2890:C2891,"Show")/2))&amp;"."</f>
        <v>B.</v>
      </c>
      <c r="G2892" s="12" t="s">
        <v>3438</v>
      </c>
    </row>
    <row r="2893" spans="2:8" hidden="1" outlineLevel="1">
      <c r="B2893" s="12" t="s">
        <v>2697</v>
      </c>
      <c r="C2893" s="9" t="str">
        <f>C2892</f>
        <v>Show</v>
      </c>
      <c r="D2893" s="23"/>
      <c r="E2893" s="12"/>
      <c r="F2893" s="70"/>
      <c r="G2893" s="30" t="s">
        <v>121</v>
      </c>
      <c r="H2893" s="75" t="s">
        <v>2548</v>
      </c>
    </row>
    <row r="2894" spans="2:8" hidden="1" outlineLevel="1">
      <c r="B2894" s="12" t="s">
        <v>2697</v>
      </c>
      <c r="C2894" s="9" t="str">
        <f>C2879</f>
        <v>Show</v>
      </c>
      <c r="D2894" s="23" t="s">
        <v>187</v>
      </c>
      <c r="E2894" s="13"/>
      <c r="G2894" s="13"/>
    </row>
    <row r="2895" spans="2:8" hidden="1" outlineLevel="1">
      <c r="B2895" s="12" t="s">
        <v>2697</v>
      </c>
      <c r="C2895" s="9" t="str">
        <f>C2879</f>
        <v>Show</v>
      </c>
      <c r="D2895" s="23"/>
      <c r="E2895" s="12" t="str">
        <f>IF(COUNTIF(C2896:C2899,"Show")&gt;0,"3.1 Execution Requirements","No EGC Requirements")</f>
        <v>3.1 Execution Requirements</v>
      </c>
      <c r="G2895" s="13"/>
    </row>
    <row r="2896" spans="2:8" hidden="1" outlineLevel="1">
      <c r="B2896" s="12" t="s">
        <v>2697</v>
      </c>
      <c r="C2896" s="9" t="str">
        <f>$F$5952</f>
        <v>Show</v>
      </c>
      <c r="D2896" s="23"/>
      <c r="E2896" s="12"/>
      <c r="F2896" s="70" t="s">
        <v>119</v>
      </c>
      <c r="G2896" s="12" t="s">
        <v>3452</v>
      </c>
    </row>
    <row r="2897" spans="2:8" hidden="1" outlineLevel="1">
      <c r="B2897" s="12" t="s">
        <v>2697</v>
      </c>
      <c r="C2897" s="9" t="str">
        <f>C2896</f>
        <v>Show</v>
      </c>
      <c r="D2897" s="23"/>
      <c r="E2897" s="12"/>
      <c r="G2897" s="78" t="s">
        <v>121</v>
      </c>
      <c r="H2897" s="75" t="s">
        <v>2773</v>
      </c>
    </row>
    <row r="2898" spans="2:8" hidden="1" outlineLevel="1">
      <c r="B2898" s="12" t="s">
        <v>2697</v>
      </c>
      <c r="C2898" s="9" t="str">
        <f>$F$5953</f>
        <v>Show</v>
      </c>
      <c r="D2898" s="23"/>
      <c r="E2898" s="12"/>
      <c r="F2898" s="70" t="str">
        <f>CHAR(65+(COUNTIF(C$2896:C2897,"Show")/2))&amp;"."</f>
        <v>B.</v>
      </c>
      <c r="G2898" s="12" t="s">
        <v>3438</v>
      </c>
    </row>
    <row r="2899" spans="2:8" hidden="1" outlineLevel="1">
      <c r="B2899" s="12" t="s">
        <v>2697</v>
      </c>
      <c r="C2899" s="9" t="str">
        <f>C2898</f>
        <v>Show</v>
      </c>
      <c r="D2899" s="23"/>
      <c r="E2899" s="12"/>
      <c r="F2899" s="70"/>
      <c r="G2899" s="78" t="s">
        <v>121</v>
      </c>
      <c r="H2899" s="75" t="s">
        <v>2550</v>
      </c>
    </row>
    <row r="2900" spans="2:8" hidden="1" outlineLevel="1">
      <c r="B2900" s="12" t="s">
        <v>2697</v>
      </c>
      <c r="C2900" s="9" t="str">
        <f>C2879</f>
        <v>Show</v>
      </c>
    </row>
    <row r="2901" spans="2:8" collapsed="1">
      <c r="B2901" s="12" t="s">
        <v>2697</v>
      </c>
      <c r="C2901" s="2" t="str">
        <f>C2902</f>
        <v>Show</v>
      </c>
      <c r="D2901" s="60" t="s">
        <v>277</v>
      </c>
      <c r="E2901" s="60"/>
      <c r="F2901" s="56" t="s">
        <v>595</v>
      </c>
      <c r="G2901" s="53"/>
      <c r="H2901" s="54"/>
    </row>
    <row r="2902" spans="2:8" hidden="1" outlineLevel="1">
      <c r="B2902" s="12" t="s">
        <v>2697</v>
      </c>
      <c r="C2902" s="2" t="str">
        <f>IF((COUNTIF(C2906:C2914,"Show")+COUNTIF(C2917:C2922,"Show")+COUNTIF(C2925:C2932,"Show"))&gt;0,"Show","Hide")</f>
        <v>Show</v>
      </c>
      <c r="D2902" s="23" t="s">
        <v>117</v>
      </c>
      <c r="E2902" s="13"/>
      <c r="G2902" s="13"/>
    </row>
    <row r="2903" spans="2:8" hidden="1" outlineLevel="1">
      <c r="B2903" s="12" t="s">
        <v>2697</v>
      </c>
      <c r="C2903" s="9" t="str">
        <f>C2902</f>
        <v>Show</v>
      </c>
      <c r="D2903" s="23"/>
      <c r="E2903" s="13">
        <v>1.1000000000000001</v>
      </c>
      <c r="F2903" s="11" t="s">
        <v>118</v>
      </c>
      <c r="G2903" s="13"/>
    </row>
    <row r="2904" spans="2:8" hidden="1" outlineLevel="1">
      <c r="B2904" s="12" t="s">
        <v>2697</v>
      </c>
      <c r="C2904" s="9" t="str">
        <f>C2903</f>
        <v>Show</v>
      </c>
      <c r="D2904" s="23"/>
      <c r="E2904" s="13"/>
      <c r="F2904" s="70" t="s">
        <v>119</v>
      </c>
      <c r="G2904" s="18" t="s">
        <v>677</v>
      </c>
    </row>
    <row r="2905" spans="2:8" hidden="1" outlineLevel="1">
      <c r="B2905" s="12" t="s">
        <v>2697</v>
      </c>
      <c r="C2905" s="9" t="str">
        <f>C2904</f>
        <v>Show</v>
      </c>
      <c r="D2905" s="23"/>
      <c r="E2905" s="13"/>
      <c r="F2905" s="70"/>
      <c r="G2905" s="78" t="s">
        <v>121</v>
      </c>
      <c r="H2905" s="79" t="s">
        <v>2301</v>
      </c>
    </row>
    <row r="2906" spans="2:8" hidden="1" outlineLevel="1">
      <c r="B2906" s="12" t="s">
        <v>2697</v>
      </c>
      <c r="C2906" s="9" t="str">
        <f>IF(COUNTIF(C2907:C2914,"Show")&gt;0,"Show","Hide")</f>
        <v>Show</v>
      </c>
      <c r="D2906" s="23"/>
      <c r="E2906" s="13">
        <v>1.2</v>
      </c>
      <c r="F2906" s="71" t="s">
        <v>131</v>
      </c>
      <c r="G2906" s="78"/>
    </row>
    <row r="2907" spans="2:8" hidden="1" outlineLevel="1">
      <c r="B2907" s="12" t="s">
        <v>2697</v>
      </c>
      <c r="C2907" s="9" t="str">
        <f>$D$5952</f>
        <v>Show</v>
      </c>
      <c r="D2907" s="23"/>
      <c r="E2907" s="13"/>
      <c r="F2907" s="70" t="s">
        <v>119</v>
      </c>
      <c r="G2907" s="12" t="s">
        <v>3452</v>
      </c>
    </row>
    <row r="2908" spans="2:8" hidden="1" outlineLevel="1">
      <c r="B2908" s="12" t="s">
        <v>2697</v>
      </c>
      <c r="C2908" s="9" t="str">
        <f>C2907</f>
        <v>Show</v>
      </c>
      <c r="D2908" s="23"/>
      <c r="E2908" s="13"/>
      <c r="G2908" s="78" t="s">
        <v>121</v>
      </c>
      <c r="H2908" s="75" t="s">
        <v>2771</v>
      </c>
    </row>
    <row r="2909" spans="2:8" hidden="1" outlineLevel="1">
      <c r="B2909" s="12" t="s">
        <v>2697</v>
      </c>
      <c r="C2909" s="9" t="str">
        <f>$D$5953</f>
        <v>Show</v>
      </c>
      <c r="D2909" s="23"/>
      <c r="E2909" s="13"/>
      <c r="F2909" s="70" t="str">
        <f>IF(C2907="Show","B.","A.")</f>
        <v>B.</v>
      </c>
      <c r="G2909" s="12" t="s">
        <v>3438</v>
      </c>
    </row>
    <row r="2910" spans="2:8" hidden="1" outlineLevel="1">
      <c r="B2910" s="12" t="s">
        <v>2697</v>
      </c>
      <c r="C2910" s="9" t="str">
        <f>C2909</f>
        <v>Show</v>
      </c>
      <c r="D2910" s="23"/>
      <c r="E2910" s="13"/>
      <c r="F2910" s="71"/>
      <c r="G2910" s="78" t="s">
        <v>121</v>
      </c>
      <c r="H2910" s="75" t="s">
        <v>2546</v>
      </c>
    </row>
    <row r="2911" spans="2:8" hidden="1" outlineLevel="1">
      <c r="B2911" s="12" t="s">
        <v>2697</v>
      </c>
      <c r="C2911" s="9" t="str">
        <f>$D$5986</f>
        <v>Show</v>
      </c>
      <c r="D2911" s="23"/>
      <c r="E2911" s="13"/>
      <c r="F2911" s="70" t="str">
        <f>CHAR(65+(COUNTIF(C$2907:C2910,"Show")/2))&amp;"."</f>
        <v>C.</v>
      </c>
      <c r="G2911" s="12" t="s">
        <v>3448</v>
      </c>
    </row>
    <row r="2912" spans="2:8" hidden="1" outlineLevel="1">
      <c r="B2912" s="12" t="s">
        <v>2697</v>
      </c>
      <c r="C2912" s="9" t="str">
        <f>C2911</f>
        <v>Show</v>
      </c>
      <c r="D2912" s="23"/>
      <c r="E2912" s="13"/>
      <c r="F2912" s="70"/>
      <c r="G2912" s="78" t="s">
        <v>121</v>
      </c>
      <c r="H2912" s="75" t="s">
        <v>2407</v>
      </c>
    </row>
    <row r="2913" spans="2:8" hidden="1" outlineLevel="1">
      <c r="B2913" s="12" t="s">
        <v>2697</v>
      </c>
      <c r="C2913" s="9" t="str">
        <f>$D$5987</f>
        <v>Show</v>
      </c>
      <c r="D2913" s="23"/>
      <c r="E2913" s="13"/>
      <c r="F2913" s="70" t="str">
        <f>CHAR(65+(COUNTIF(C$2907:C2912,"Show")/2))&amp;"."</f>
        <v>D.</v>
      </c>
      <c r="G2913" s="12" t="s">
        <v>3416</v>
      </c>
    </row>
    <row r="2914" spans="2:8" hidden="1" outlineLevel="1">
      <c r="B2914" s="12" t="s">
        <v>2697</v>
      </c>
      <c r="C2914" s="9" t="str">
        <f>C2913</f>
        <v>Show</v>
      </c>
      <c r="D2914" s="23"/>
      <c r="E2914" s="13"/>
      <c r="F2914" s="70"/>
      <c r="G2914" s="78" t="s">
        <v>121</v>
      </c>
      <c r="H2914" s="75" t="s">
        <v>2356</v>
      </c>
    </row>
    <row r="2915" spans="2:8" hidden="1" outlineLevel="1">
      <c r="B2915" s="12" t="s">
        <v>2697</v>
      </c>
      <c r="C2915" s="9" t="str">
        <f>C2902</f>
        <v>Show</v>
      </c>
      <c r="D2915" s="23" t="s">
        <v>613</v>
      </c>
      <c r="E2915" s="13"/>
      <c r="G2915" s="13"/>
    </row>
    <row r="2916" spans="2:8" hidden="1" outlineLevel="1">
      <c r="B2916" s="12" t="s">
        <v>2697</v>
      </c>
      <c r="C2916" s="9" t="str">
        <f>C2902</f>
        <v>Show</v>
      </c>
      <c r="D2916" s="23"/>
      <c r="E2916" s="12" t="str">
        <f>IF(COUNTIF(C2917:C2922,"Show")&gt;0,"2.1 Product Requirements","No EGC Requirements")</f>
        <v>2.1 Product Requirements</v>
      </c>
      <c r="G2916" s="13"/>
    </row>
    <row r="2917" spans="2:8" hidden="1" outlineLevel="1">
      <c r="B2917" s="12" t="s">
        <v>2697</v>
      </c>
      <c r="C2917" s="9" t="str">
        <f>$E$5952</f>
        <v>Show</v>
      </c>
      <c r="D2917" s="23"/>
      <c r="E2917" s="12"/>
      <c r="F2917" s="70" t="s">
        <v>119</v>
      </c>
      <c r="G2917" s="12" t="s">
        <v>3452</v>
      </c>
    </row>
    <row r="2918" spans="2:8" hidden="1" outlineLevel="1">
      <c r="B2918" s="12" t="s">
        <v>2697</v>
      </c>
      <c r="C2918" s="9" t="str">
        <f>C2917</f>
        <v>Show</v>
      </c>
      <c r="D2918" s="23"/>
      <c r="E2918" s="12"/>
      <c r="G2918" s="30" t="s">
        <v>121</v>
      </c>
      <c r="H2918" s="75" t="s">
        <v>2772</v>
      </c>
    </row>
    <row r="2919" spans="2:8" hidden="1" outlineLevel="1">
      <c r="B2919" s="12" t="s">
        <v>2697</v>
      </c>
      <c r="C2919" s="9" t="str">
        <f>$E$5953</f>
        <v>Show</v>
      </c>
      <c r="D2919" s="23"/>
      <c r="E2919" s="12"/>
      <c r="F2919" s="70" t="str">
        <f>CHAR(65+(COUNTIF(C$2917:C2918,"Show")/2))&amp;"."</f>
        <v>B.</v>
      </c>
      <c r="G2919" s="12" t="s">
        <v>3438</v>
      </c>
    </row>
    <row r="2920" spans="2:8" hidden="1" outlineLevel="1">
      <c r="B2920" s="12" t="s">
        <v>2697</v>
      </c>
      <c r="C2920" s="9" t="str">
        <f>C2919</f>
        <v>Show</v>
      </c>
      <c r="D2920" s="23"/>
      <c r="E2920" s="12"/>
      <c r="F2920" s="70"/>
      <c r="G2920" s="30" t="s">
        <v>121</v>
      </c>
      <c r="H2920" s="75" t="s">
        <v>2548</v>
      </c>
    </row>
    <row r="2921" spans="2:8" hidden="1" outlineLevel="1">
      <c r="B2921" s="12" t="s">
        <v>2697</v>
      </c>
      <c r="C2921" s="9" t="str">
        <f>$E$5986</f>
        <v>Show</v>
      </c>
      <c r="D2921" s="23"/>
      <c r="E2921" s="12"/>
      <c r="F2921" s="70" t="str">
        <f>CHAR(65+(COUNTIF(C$2917:C2920,"Show")/2))&amp;"."</f>
        <v>C.</v>
      </c>
      <c r="G2921" s="12" t="s">
        <v>3448</v>
      </c>
    </row>
    <row r="2922" spans="2:8" hidden="1" outlineLevel="1">
      <c r="B2922" s="12" t="s">
        <v>2697</v>
      </c>
      <c r="C2922" s="9" t="str">
        <f>C2921</f>
        <v>Show</v>
      </c>
      <c r="D2922" s="23"/>
      <c r="E2922" s="12"/>
      <c r="G2922" s="30" t="s">
        <v>121</v>
      </c>
      <c r="H2922" s="75" t="s">
        <v>2409</v>
      </c>
    </row>
    <row r="2923" spans="2:8" hidden="1" outlineLevel="1">
      <c r="B2923" s="12" t="s">
        <v>2697</v>
      </c>
      <c r="C2923" s="9" t="str">
        <f>C2902</f>
        <v>Show</v>
      </c>
      <c r="D2923" s="23" t="s">
        <v>187</v>
      </c>
      <c r="E2923" s="13"/>
      <c r="G2923" s="13"/>
    </row>
    <row r="2924" spans="2:8" hidden="1" outlineLevel="1">
      <c r="B2924" s="12" t="s">
        <v>2697</v>
      </c>
      <c r="C2924" s="9" t="str">
        <f>C2902</f>
        <v>Show</v>
      </c>
      <c r="D2924" s="23"/>
      <c r="E2924" s="12" t="str">
        <f>IF(COUNTIF(C2925:C2932,"Show")&gt;0,"3.1 Execution Requirements","No EGC Requirements")</f>
        <v>3.1 Execution Requirements</v>
      </c>
      <c r="G2924" s="13"/>
    </row>
    <row r="2925" spans="2:8" hidden="1" outlineLevel="1">
      <c r="B2925" s="12" t="s">
        <v>2697</v>
      </c>
      <c r="C2925" s="9" t="str">
        <f>$F$5952</f>
        <v>Show</v>
      </c>
      <c r="D2925" s="23"/>
      <c r="E2925" s="12"/>
      <c r="F2925" s="70" t="s">
        <v>119</v>
      </c>
      <c r="G2925" s="12" t="s">
        <v>3452</v>
      </c>
    </row>
    <row r="2926" spans="2:8" hidden="1" outlineLevel="1">
      <c r="B2926" s="12" t="s">
        <v>2697</v>
      </c>
      <c r="C2926" s="9" t="str">
        <f>C2925</f>
        <v>Show</v>
      </c>
      <c r="D2926" s="23"/>
      <c r="E2926" s="12"/>
      <c r="G2926" s="78" t="s">
        <v>121</v>
      </c>
      <c r="H2926" s="75" t="s">
        <v>2773</v>
      </c>
    </row>
    <row r="2927" spans="2:8" hidden="1" outlineLevel="1">
      <c r="B2927" s="12" t="s">
        <v>2697</v>
      </c>
      <c r="C2927" s="9" t="str">
        <f>$F$5953</f>
        <v>Show</v>
      </c>
      <c r="D2927" s="23"/>
      <c r="E2927" s="12"/>
      <c r="F2927" s="70" t="str">
        <f>CHAR(65+(COUNTIF(C$2925:C2926,"Show")/2))&amp;"."</f>
        <v>B.</v>
      </c>
      <c r="G2927" s="12" t="s">
        <v>3438</v>
      </c>
    </row>
    <row r="2928" spans="2:8" hidden="1" outlineLevel="1">
      <c r="B2928" s="12" t="s">
        <v>2697</v>
      </c>
      <c r="C2928" s="9" t="str">
        <f>C2927</f>
        <v>Show</v>
      </c>
      <c r="D2928" s="23"/>
      <c r="E2928" s="12"/>
      <c r="F2928" s="70"/>
      <c r="G2928" s="78" t="s">
        <v>121</v>
      </c>
      <c r="H2928" s="75" t="s">
        <v>2550</v>
      </c>
    </row>
    <row r="2929" spans="2:8" hidden="1" outlineLevel="1">
      <c r="B2929" s="12" t="s">
        <v>2697</v>
      </c>
      <c r="C2929" s="9" t="str">
        <f>$F$5986</f>
        <v>Show</v>
      </c>
      <c r="D2929" s="23"/>
      <c r="E2929" s="13"/>
      <c r="F2929" s="70" t="str">
        <f>CHAR(65+(COUNTIF(C$2925:C2928,"Show")/2))&amp;"."</f>
        <v>C.</v>
      </c>
      <c r="G2929" s="12" t="s">
        <v>3448</v>
      </c>
    </row>
    <row r="2930" spans="2:8" ht="30" hidden="1" outlineLevel="1">
      <c r="B2930" s="12" t="s">
        <v>2697</v>
      </c>
      <c r="C2930" s="9" t="str">
        <f>C2929</f>
        <v>Show</v>
      </c>
      <c r="D2930" s="23"/>
      <c r="E2930" s="13"/>
      <c r="F2930" s="70"/>
      <c r="G2930" s="78" t="s">
        <v>121</v>
      </c>
      <c r="H2930" s="75" t="s">
        <v>2762</v>
      </c>
    </row>
    <row r="2931" spans="2:8" hidden="1" outlineLevel="1">
      <c r="B2931" s="12" t="s">
        <v>2697</v>
      </c>
      <c r="C2931" s="9" t="str">
        <f>$F$5987</f>
        <v>Show</v>
      </c>
      <c r="D2931" s="23"/>
      <c r="E2931" s="13"/>
      <c r="F2931" s="70" t="str">
        <f>CHAR(65+(COUNTIF(C$2925:C2930,"Show")/2))&amp;"."</f>
        <v>D.</v>
      </c>
      <c r="G2931" s="12" t="s">
        <v>3416</v>
      </c>
    </row>
    <row r="2932" spans="2:8" ht="30" hidden="1" outlineLevel="1">
      <c r="B2932" s="12" t="s">
        <v>2697</v>
      </c>
      <c r="C2932" s="9" t="str">
        <f>C2931</f>
        <v>Show</v>
      </c>
      <c r="D2932" s="23"/>
      <c r="E2932" s="13"/>
      <c r="G2932" s="78" t="s">
        <v>121</v>
      </c>
      <c r="H2932" s="75" t="s">
        <v>2763</v>
      </c>
    </row>
    <row r="2933" spans="2:8" hidden="1" outlineLevel="1">
      <c r="B2933" s="12" t="s">
        <v>2697</v>
      </c>
      <c r="C2933" s="9" t="str">
        <f>C2902</f>
        <v>Show</v>
      </c>
    </row>
    <row r="2934" spans="2:8" collapsed="1">
      <c r="B2934" s="12" t="s">
        <v>2697</v>
      </c>
      <c r="C2934" s="2" t="str">
        <f>C2935</f>
        <v>Show</v>
      </c>
      <c r="D2934" s="55" t="s">
        <v>1795</v>
      </c>
      <c r="E2934" s="55"/>
      <c r="F2934" s="57" t="s">
        <v>1796</v>
      </c>
      <c r="G2934" s="59"/>
      <c r="H2934" s="58"/>
    </row>
    <row r="2935" spans="2:8" hidden="1" outlineLevel="1">
      <c r="B2935" s="12" t="s">
        <v>2697</v>
      </c>
      <c r="C2935" s="2" t="str">
        <f>IF((COUNTIF(C2939:C2947,"Show")+COUNTIF(C2950:C2955,"Show")+COUNTIF(C2958:C2965,"Show"))&gt;0,"Show","Hide")</f>
        <v>Show</v>
      </c>
      <c r="D2935" s="23" t="s">
        <v>117</v>
      </c>
      <c r="E2935" s="13"/>
      <c r="G2935" s="13"/>
    </row>
    <row r="2936" spans="2:8" hidden="1" outlineLevel="1">
      <c r="B2936" s="12" t="s">
        <v>2697</v>
      </c>
      <c r="C2936" s="9" t="str">
        <f>C2935</f>
        <v>Show</v>
      </c>
      <c r="D2936" s="23"/>
      <c r="E2936" s="13">
        <v>1.1000000000000001</v>
      </c>
      <c r="F2936" s="11" t="s">
        <v>118</v>
      </c>
      <c r="G2936" s="13"/>
    </row>
    <row r="2937" spans="2:8" hidden="1" outlineLevel="1">
      <c r="B2937" s="12" t="s">
        <v>2697</v>
      </c>
      <c r="C2937" s="9" t="str">
        <f>C2936</f>
        <v>Show</v>
      </c>
      <c r="D2937" s="23"/>
      <c r="E2937" s="13"/>
      <c r="F2937" s="70" t="s">
        <v>119</v>
      </c>
      <c r="G2937" s="18" t="s">
        <v>677</v>
      </c>
    </row>
    <row r="2938" spans="2:8" hidden="1" outlineLevel="1">
      <c r="B2938" s="12" t="s">
        <v>2697</v>
      </c>
      <c r="C2938" s="9" t="str">
        <f>C2937</f>
        <v>Show</v>
      </c>
      <c r="D2938" s="23"/>
      <c r="E2938" s="13"/>
      <c r="F2938" s="70"/>
      <c r="G2938" s="78" t="s">
        <v>121</v>
      </c>
      <c r="H2938" s="79" t="s">
        <v>2301</v>
      </c>
    </row>
    <row r="2939" spans="2:8" hidden="1" outlineLevel="1">
      <c r="B2939" s="12" t="s">
        <v>2697</v>
      </c>
      <c r="C2939" s="9" t="str">
        <f>IF(COUNTIF(C2940:C2947,"Show")&gt;0,"Show","Hide")</f>
        <v>Show</v>
      </c>
      <c r="D2939" s="23"/>
      <c r="E2939" s="13">
        <v>1.2</v>
      </c>
      <c r="F2939" s="71" t="s">
        <v>131</v>
      </c>
      <c r="G2939" s="78"/>
    </row>
    <row r="2940" spans="2:8" hidden="1" outlineLevel="1">
      <c r="B2940" s="12" t="s">
        <v>2697</v>
      </c>
      <c r="C2940" s="9" t="str">
        <f>$D$5953</f>
        <v>Show</v>
      </c>
      <c r="D2940" s="23"/>
      <c r="E2940" s="13"/>
      <c r="F2940" s="70" t="s">
        <v>119</v>
      </c>
      <c r="G2940" s="12" t="s">
        <v>3438</v>
      </c>
    </row>
    <row r="2941" spans="2:8" hidden="1" outlineLevel="1">
      <c r="B2941" s="12" t="s">
        <v>2697</v>
      </c>
      <c r="C2941" s="9" t="str">
        <f>C2940</f>
        <v>Show</v>
      </c>
      <c r="D2941" s="23"/>
      <c r="E2941" s="13"/>
      <c r="F2941" s="71"/>
      <c r="G2941" s="78" t="s">
        <v>121</v>
      </c>
      <c r="H2941" s="75" t="s">
        <v>2546</v>
      </c>
    </row>
    <row r="2942" spans="2:8" hidden="1" outlineLevel="1">
      <c r="B2942" s="12" t="s">
        <v>2697</v>
      </c>
      <c r="C2942" s="9" t="str">
        <f>$D$5955</f>
        <v>Show</v>
      </c>
      <c r="D2942" s="23"/>
      <c r="E2942" s="13"/>
      <c r="F2942" s="70" t="str">
        <f>CHAR(65+(COUNTIF(C$2940:C2941,"Show")/2))&amp;"."</f>
        <v>B.</v>
      </c>
      <c r="G2942" s="12" t="s">
        <v>3435</v>
      </c>
    </row>
    <row r="2943" spans="2:8" hidden="1" outlineLevel="1">
      <c r="B2943" s="12" t="s">
        <v>2697</v>
      </c>
      <c r="C2943" s="9" t="str">
        <f>C2942</f>
        <v>Show</v>
      </c>
      <c r="D2943" s="23"/>
      <c r="E2943" s="13"/>
      <c r="F2943" s="70"/>
      <c r="G2943" s="78" t="s">
        <v>121</v>
      </c>
      <c r="H2943" s="75" t="s">
        <v>2538</v>
      </c>
    </row>
    <row r="2944" spans="2:8" hidden="1" outlineLevel="1">
      <c r="B2944" s="12" t="s">
        <v>2697</v>
      </c>
      <c r="C2944" s="9" t="str">
        <f>$D$5986</f>
        <v>Show</v>
      </c>
      <c r="D2944" s="23"/>
      <c r="E2944" s="13"/>
      <c r="F2944" s="70" t="str">
        <f>CHAR(65+(COUNTIF(C$2940:C2943,"Show")/2))&amp;"."</f>
        <v>C.</v>
      </c>
      <c r="G2944" s="12" t="s">
        <v>3448</v>
      </c>
    </row>
    <row r="2945" spans="2:8" hidden="1" outlineLevel="1">
      <c r="B2945" s="12" t="s">
        <v>2697</v>
      </c>
      <c r="C2945" s="9" t="str">
        <f>C2944</f>
        <v>Show</v>
      </c>
      <c r="D2945" s="23"/>
      <c r="E2945" s="13"/>
      <c r="F2945" s="70"/>
      <c r="G2945" s="78" t="s">
        <v>121</v>
      </c>
      <c r="H2945" s="75" t="s">
        <v>2407</v>
      </c>
    </row>
    <row r="2946" spans="2:8" hidden="1" outlineLevel="1">
      <c r="B2946" s="12" t="s">
        <v>2697</v>
      </c>
      <c r="C2946" s="9" t="str">
        <f>$D$5987</f>
        <v>Show</v>
      </c>
      <c r="D2946" s="23"/>
      <c r="E2946" s="13"/>
      <c r="F2946" s="70" t="str">
        <f>CHAR(65+(COUNTIF(C$2940:C2945,"Show")/2))&amp;"."</f>
        <v>D.</v>
      </c>
      <c r="G2946" s="12" t="s">
        <v>3416</v>
      </c>
    </row>
    <row r="2947" spans="2:8" hidden="1" outlineLevel="1">
      <c r="B2947" s="12" t="s">
        <v>2697</v>
      </c>
      <c r="C2947" s="9" t="str">
        <f>C2946</f>
        <v>Show</v>
      </c>
      <c r="D2947" s="23"/>
      <c r="E2947" s="13"/>
      <c r="F2947" s="70"/>
      <c r="G2947" s="78" t="s">
        <v>121</v>
      </c>
      <c r="H2947" s="75" t="s">
        <v>2356</v>
      </c>
    </row>
    <row r="2948" spans="2:8" hidden="1" outlineLevel="1">
      <c r="B2948" s="12" t="s">
        <v>2697</v>
      </c>
      <c r="C2948" s="9" t="str">
        <f>C2935</f>
        <v>Show</v>
      </c>
      <c r="D2948" s="23" t="s">
        <v>613</v>
      </c>
      <c r="E2948" s="13"/>
      <c r="G2948" s="13"/>
    </row>
    <row r="2949" spans="2:8" hidden="1" outlineLevel="1">
      <c r="B2949" s="12" t="s">
        <v>2697</v>
      </c>
      <c r="C2949" s="9" t="str">
        <f>C2935</f>
        <v>Show</v>
      </c>
      <c r="D2949" s="23"/>
      <c r="E2949" s="12" t="str">
        <f>IF(COUNTIF(C2950:C2955,"Show")&gt;0,"2.1 Product Requirements","No EGC Requirements")</f>
        <v>2.1 Product Requirements</v>
      </c>
      <c r="G2949" s="13"/>
    </row>
    <row r="2950" spans="2:8" hidden="1" outlineLevel="1">
      <c r="B2950" s="12" t="s">
        <v>2697</v>
      </c>
      <c r="C2950" s="9" t="str">
        <f>$E$5953</f>
        <v>Show</v>
      </c>
      <c r="D2950" s="23"/>
      <c r="E2950" s="12"/>
      <c r="F2950" s="70" t="s">
        <v>119</v>
      </c>
      <c r="G2950" s="12" t="s">
        <v>3438</v>
      </c>
    </row>
    <row r="2951" spans="2:8" hidden="1" outlineLevel="1">
      <c r="B2951" s="12" t="s">
        <v>2697</v>
      </c>
      <c r="C2951" s="9" t="str">
        <f>C2950</f>
        <v>Show</v>
      </c>
      <c r="D2951" s="23"/>
      <c r="E2951" s="12"/>
      <c r="F2951" s="70"/>
      <c r="G2951" s="30" t="s">
        <v>121</v>
      </c>
      <c r="H2951" s="75" t="s">
        <v>2548</v>
      </c>
    </row>
    <row r="2952" spans="2:8" hidden="1" outlineLevel="1">
      <c r="B2952" s="12" t="s">
        <v>2697</v>
      </c>
      <c r="C2952" s="9" t="str">
        <f>$E$5955</f>
        <v>Show</v>
      </c>
      <c r="D2952" s="23"/>
      <c r="E2952" s="12"/>
      <c r="F2952" s="70" t="str">
        <f>CHAR(65+(COUNTIF(C$2950:C2951,"Show")/2))&amp;"."</f>
        <v>B.</v>
      </c>
      <c r="G2952" s="12" t="s">
        <v>3435</v>
      </c>
    </row>
    <row r="2953" spans="2:8" hidden="1" outlineLevel="1">
      <c r="B2953" s="12" t="s">
        <v>2697</v>
      </c>
      <c r="C2953" s="9" t="str">
        <f>C2952</f>
        <v>Show</v>
      </c>
      <c r="D2953" s="23"/>
      <c r="E2953" s="12"/>
      <c r="F2953" s="70"/>
      <c r="G2953" s="30" t="s">
        <v>121</v>
      </c>
      <c r="H2953" s="75" t="s">
        <v>2539</v>
      </c>
    </row>
    <row r="2954" spans="2:8" hidden="1" outlineLevel="1">
      <c r="B2954" s="12" t="s">
        <v>2697</v>
      </c>
      <c r="C2954" s="9" t="str">
        <f>$E$5986</f>
        <v>Show</v>
      </c>
      <c r="D2954" s="23"/>
      <c r="E2954" s="12"/>
      <c r="F2954" s="70" t="str">
        <f>CHAR(65+(COUNTIF(C$2950:C2953,"Show")/2))&amp;"."</f>
        <v>C.</v>
      </c>
      <c r="G2954" s="12" t="s">
        <v>3448</v>
      </c>
    </row>
    <row r="2955" spans="2:8" hidden="1" outlineLevel="1">
      <c r="B2955" s="12" t="s">
        <v>2697</v>
      </c>
      <c r="C2955" s="9" t="str">
        <f>C2954</f>
        <v>Show</v>
      </c>
      <c r="D2955" s="23"/>
      <c r="E2955" s="12"/>
      <c r="F2955" s="70"/>
      <c r="G2955" s="30" t="s">
        <v>121</v>
      </c>
      <c r="H2955" s="75" t="s">
        <v>2409</v>
      </c>
    </row>
    <row r="2956" spans="2:8" hidden="1" outlineLevel="1">
      <c r="B2956" s="12" t="s">
        <v>2697</v>
      </c>
      <c r="C2956" s="9" t="str">
        <f>C2935</f>
        <v>Show</v>
      </c>
      <c r="D2956" s="23" t="s">
        <v>187</v>
      </c>
      <c r="E2956" s="13"/>
      <c r="G2956" s="13"/>
    </row>
    <row r="2957" spans="2:8" hidden="1" outlineLevel="1">
      <c r="B2957" s="12" t="s">
        <v>2697</v>
      </c>
      <c r="C2957" s="9" t="str">
        <f>C2935</f>
        <v>Show</v>
      </c>
      <c r="D2957" s="23"/>
      <c r="E2957" s="12" t="str">
        <f>IF(COUNTIF(C2958:C2965,"Show")&gt;0,"3.1 Execution Requirements","No EGC Requirements")</f>
        <v>3.1 Execution Requirements</v>
      </c>
      <c r="G2957" s="13"/>
    </row>
    <row r="2958" spans="2:8" hidden="1" outlineLevel="1">
      <c r="B2958" s="12" t="s">
        <v>2697</v>
      </c>
      <c r="C2958" s="9" t="str">
        <f>$F$5953</f>
        <v>Show</v>
      </c>
      <c r="D2958" s="23"/>
      <c r="E2958" s="12"/>
      <c r="F2958" s="70" t="s">
        <v>119</v>
      </c>
      <c r="G2958" s="12" t="s">
        <v>3438</v>
      </c>
    </row>
    <row r="2959" spans="2:8" hidden="1" outlineLevel="1">
      <c r="B2959" s="12" t="s">
        <v>2697</v>
      </c>
      <c r="C2959" s="9" t="str">
        <f>C2958</f>
        <v>Show</v>
      </c>
      <c r="D2959" s="23"/>
      <c r="E2959" s="12"/>
      <c r="F2959" s="70"/>
      <c r="G2959" s="78" t="s">
        <v>121</v>
      </c>
      <c r="H2959" s="75" t="s">
        <v>2550</v>
      </c>
    </row>
    <row r="2960" spans="2:8" hidden="1" outlineLevel="1">
      <c r="B2960" s="12" t="s">
        <v>2697</v>
      </c>
      <c r="C2960" s="9" t="str">
        <f>$F$5955</f>
        <v>Show</v>
      </c>
      <c r="D2960" s="23"/>
      <c r="E2960" s="12"/>
      <c r="F2960" s="70" t="str">
        <f>CHAR(65+(COUNTIF(C$2958:C2959,"Show")/2))&amp;"."</f>
        <v>B.</v>
      </c>
      <c r="G2960" s="12" t="s">
        <v>3435</v>
      </c>
    </row>
    <row r="2961" spans="2:8" ht="30" hidden="1" outlineLevel="1">
      <c r="B2961" s="12" t="s">
        <v>2697</v>
      </c>
      <c r="C2961" s="9" t="str">
        <f>C2960</f>
        <v>Show</v>
      </c>
      <c r="D2961" s="23"/>
      <c r="E2961" s="12"/>
      <c r="F2961" s="70"/>
      <c r="G2961" s="78" t="s">
        <v>121</v>
      </c>
      <c r="H2961" s="75" t="s">
        <v>2540</v>
      </c>
    </row>
    <row r="2962" spans="2:8" hidden="1" outlineLevel="1">
      <c r="B2962" s="12" t="s">
        <v>2697</v>
      </c>
      <c r="C2962" s="9" t="str">
        <f>$F$5986</f>
        <v>Show</v>
      </c>
      <c r="D2962" s="23"/>
      <c r="E2962" s="13"/>
      <c r="F2962" s="70" t="str">
        <f>CHAR(65+(COUNTIF(C$2958:C2961,"Show")/2))&amp;"."</f>
        <v>C.</v>
      </c>
      <c r="G2962" s="12" t="s">
        <v>3448</v>
      </c>
    </row>
    <row r="2963" spans="2:8" ht="30" hidden="1" outlineLevel="1">
      <c r="B2963" s="12" t="s">
        <v>2697</v>
      </c>
      <c r="C2963" s="9" t="str">
        <f>C2962</f>
        <v>Show</v>
      </c>
      <c r="D2963" s="23"/>
      <c r="E2963" s="13"/>
      <c r="F2963" s="70"/>
      <c r="G2963" s="78" t="s">
        <v>121</v>
      </c>
      <c r="H2963" s="75" t="s">
        <v>2762</v>
      </c>
    </row>
    <row r="2964" spans="2:8" hidden="1" outlineLevel="1">
      <c r="B2964" s="12" t="s">
        <v>2697</v>
      </c>
      <c r="C2964" s="9" t="str">
        <f>$F$5987</f>
        <v>Show</v>
      </c>
      <c r="D2964" s="23"/>
      <c r="E2964" s="13"/>
      <c r="F2964" s="70" t="str">
        <f>CHAR(65+(COUNTIF(C$2958:C2963,"Show")/2))&amp;"."</f>
        <v>D.</v>
      </c>
      <c r="G2964" s="12" t="s">
        <v>3416</v>
      </c>
    </row>
    <row r="2965" spans="2:8" ht="30" hidden="1" outlineLevel="1">
      <c r="B2965" s="12" t="s">
        <v>2697</v>
      </c>
      <c r="C2965" s="9" t="str">
        <f>C2964</f>
        <v>Show</v>
      </c>
      <c r="D2965" s="23"/>
      <c r="E2965" s="13"/>
      <c r="F2965" s="70"/>
      <c r="G2965" s="78" t="s">
        <v>121</v>
      </c>
      <c r="H2965" s="75" t="s">
        <v>2763</v>
      </c>
    </row>
    <row r="2966" spans="2:8" hidden="1" outlineLevel="1">
      <c r="B2966" s="12" t="s">
        <v>2697</v>
      </c>
      <c r="C2966" s="9" t="str">
        <f>C2935</f>
        <v>Show</v>
      </c>
    </row>
    <row r="2967" spans="2:8" collapsed="1">
      <c r="B2967" s="12" t="s">
        <v>2697</v>
      </c>
      <c r="C2967" s="2" t="str">
        <f>C2968</f>
        <v>Show</v>
      </c>
      <c r="D2967" s="60" t="s">
        <v>1227</v>
      </c>
      <c r="E2967" s="60"/>
      <c r="F2967" s="56" t="s">
        <v>596</v>
      </c>
      <c r="G2967" s="53"/>
      <c r="H2967" s="54"/>
    </row>
    <row r="2968" spans="2:8" hidden="1" outlineLevel="1">
      <c r="B2968" s="12" t="s">
        <v>2697</v>
      </c>
      <c r="C2968" s="2" t="str">
        <f>IF((COUNTIF(C2972:C2974,"Show")+COUNTIF(C2977:C2978,"Show")+COUNTIF(C2981:C2982,"Show"))&gt;0,"Show","Hide")</f>
        <v>Show</v>
      </c>
      <c r="D2968" s="23" t="s">
        <v>117</v>
      </c>
      <c r="E2968" s="13"/>
      <c r="G2968" s="13"/>
    </row>
    <row r="2969" spans="2:8" hidden="1" outlineLevel="1">
      <c r="B2969" s="12" t="s">
        <v>2697</v>
      </c>
      <c r="C2969" s="9" t="str">
        <f>C2968</f>
        <v>Show</v>
      </c>
      <c r="D2969" s="23"/>
      <c r="E2969" s="13">
        <v>1.1000000000000001</v>
      </c>
      <c r="F2969" s="11" t="s">
        <v>118</v>
      </c>
      <c r="G2969" s="13"/>
    </row>
    <row r="2970" spans="2:8" hidden="1" outlineLevel="1">
      <c r="B2970" s="12" t="s">
        <v>2697</v>
      </c>
      <c r="C2970" s="9" t="str">
        <f>C2969</f>
        <v>Show</v>
      </c>
      <c r="D2970" s="23"/>
      <c r="E2970" s="13"/>
      <c r="F2970" s="70" t="s">
        <v>119</v>
      </c>
      <c r="G2970" s="18" t="s">
        <v>677</v>
      </c>
    </row>
    <row r="2971" spans="2:8" hidden="1" outlineLevel="1">
      <c r="B2971" s="12" t="s">
        <v>2697</v>
      </c>
      <c r="C2971" s="9" t="str">
        <f>C2970</f>
        <v>Show</v>
      </c>
      <c r="D2971" s="23"/>
      <c r="E2971" s="13"/>
      <c r="F2971" s="70"/>
      <c r="G2971" s="78" t="s">
        <v>121</v>
      </c>
      <c r="H2971" s="79" t="s">
        <v>2301</v>
      </c>
    </row>
    <row r="2972" spans="2:8" hidden="1" outlineLevel="1">
      <c r="B2972" s="12" t="s">
        <v>2697</v>
      </c>
      <c r="C2972" s="9" t="str">
        <f>IF(COUNTIF(C2973:C2974,"Show")&gt;0,"Show","Hide")</f>
        <v>Show</v>
      </c>
      <c r="D2972" s="23"/>
      <c r="E2972" s="13">
        <v>1.2</v>
      </c>
      <c r="F2972" s="71" t="s">
        <v>131</v>
      </c>
      <c r="G2972" s="78"/>
    </row>
    <row r="2973" spans="2:8" hidden="1" outlineLevel="1">
      <c r="B2973" s="12" t="s">
        <v>2697</v>
      </c>
      <c r="C2973" s="9" t="str">
        <f>$D$5952</f>
        <v>Show</v>
      </c>
      <c r="D2973" s="23"/>
      <c r="E2973" s="13"/>
      <c r="F2973" s="70" t="s">
        <v>119</v>
      </c>
      <c r="G2973" s="12" t="s">
        <v>3452</v>
      </c>
    </row>
    <row r="2974" spans="2:8" hidden="1" outlineLevel="1">
      <c r="B2974" s="12" t="s">
        <v>2697</v>
      </c>
      <c r="C2974" s="9" t="str">
        <f>C2973</f>
        <v>Show</v>
      </c>
      <c r="D2974" s="23"/>
      <c r="E2974" s="13"/>
      <c r="G2974" s="78" t="s">
        <v>121</v>
      </c>
      <c r="H2974" s="75" t="s">
        <v>2771</v>
      </c>
    </row>
    <row r="2975" spans="2:8" hidden="1" outlineLevel="1">
      <c r="B2975" s="12" t="s">
        <v>2697</v>
      </c>
      <c r="C2975" s="9" t="str">
        <f>C2968</f>
        <v>Show</v>
      </c>
      <c r="D2975" s="23" t="s">
        <v>613</v>
      </c>
      <c r="E2975" s="13"/>
      <c r="G2975" s="13"/>
    </row>
    <row r="2976" spans="2:8" hidden="1" outlineLevel="1">
      <c r="B2976" s="12" t="s">
        <v>2697</v>
      </c>
      <c r="C2976" s="9" t="str">
        <f>C2968</f>
        <v>Show</v>
      </c>
      <c r="D2976" s="23"/>
      <c r="E2976" s="12" t="str">
        <f>IF(COUNTIF(C2977:C2978,"Show")&gt;0,"2.1 Product Requirements","No EGC Requirements")</f>
        <v>2.1 Product Requirements</v>
      </c>
      <c r="G2976" s="13"/>
    </row>
    <row r="2977" spans="2:8" hidden="1" outlineLevel="1">
      <c r="B2977" s="12" t="s">
        <v>2697</v>
      </c>
      <c r="C2977" s="9" t="str">
        <f>$E$5952</f>
        <v>Show</v>
      </c>
      <c r="D2977" s="23"/>
      <c r="E2977" s="12"/>
      <c r="F2977" s="70" t="s">
        <v>119</v>
      </c>
      <c r="G2977" s="12" t="s">
        <v>3452</v>
      </c>
    </row>
    <row r="2978" spans="2:8" hidden="1" outlineLevel="1">
      <c r="B2978" s="12" t="s">
        <v>2697</v>
      </c>
      <c r="C2978" s="9" t="str">
        <f>C2977</f>
        <v>Show</v>
      </c>
      <c r="D2978" s="23"/>
      <c r="E2978" s="12"/>
      <c r="G2978" s="30" t="s">
        <v>121</v>
      </c>
      <c r="H2978" s="75" t="s">
        <v>2772</v>
      </c>
    </row>
    <row r="2979" spans="2:8" hidden="1" outlineLevel="1">
      <c r="B2979" s="12" t="s">
        <v>2697</v>
      </c>
      <c r="C2979" s="9" t="str">
        <f>C2968</f>
        <v>Show</v>
      </c>
      <c r="D2979" s="23" t="s">
        <v>187</v>
      </c>
      <c r="E2979" s="13"/>
      <c r="G2979" s="13"/>
    </row>
    <row r="2980" spans="2:8" hidden="1" outlineLevel="1">
      <c r="B2980" s="12" t="s">
        <v>2697</v>
      </c>
      <c r="C2980" s="9" t="str">
        <f>C2968</f>
        <v>Show</v>
      </c>
      <c r="D2980" s="23"/>
      <c r="E2980" s="12" t="str">
        <f>IF(COUNTIF(C2981:C2982,"Show")&gt;0,"3.1 Execution Requirements","No EGC Requirements")</f>
        <v>3.1 Execution Requirements</v>
      </c>
      <c r="G2980" s="13"/>
    </row>
    <row r="2981" spans="2:8" hidden="1" outlineLevel="1">
      <c r="B2981" s="12" t="s">
        <v>2697</v>
      </c>
      <c r="C2981" s="9" t="str">
        <f>$F$5952</f>
        <v>Show</v>
      </c>
      <c r="D2981" s="23"/>
      <c r="E2981" s="12"/>
      <c r="F2981" s="70" t="s">
        <v>119</v>
      </c>
      <c r="G2981" s="12" t="s">
        <v>3452</v>
      </c>
    </row>
    <row r="2982" spans="2:8" hidden="1" outlineLevel="1">
      <c r="B2982" s="12" t="s">
        <v>2697</v>
      </c>
      <c r="C2982" s="9" t="str">
        <f>C2981</f>
        <v>Show</v>
      </c>
      <c r="D2982" s="23"/>
      <c r="E2982" s="12"/>
      <c r="G2982" s="78" t="s">
        <v>121</v>
      </c>
      <c r="H2982" s="75" t="s">
        <v>2773</v>
      </c>
    </row>
    <row r="2983" spans="2:8" hidden="1" outlineLevel="1">
      <c r="B2983" s="12" t="s">
        <v>2697</v>
      </c>
      <c r="C2983" s="9" t="str">
        <f>C2968</f>
        <v>Show</v>
      </c>
    </row>
    <row r="2984" spans="2:8" collapsed="1">
      <c r="B2984" s="23"/>
      <c r="C2984" s="2" t="str">
        <f>C2985</f>
        <v>Show</v>
      </c>
      <c r="D2984" s="55" t="s">
        <v>1641</v>
      </c>
      <c r="E2984" s="55"/>
      <c r="F2984" s="57" t="s">
        <v>278</v>
      </c>
      <c r="G2984" s="53"/>
      <c r="H2984" s="54"/>
    </row>
    <row r="2985" spans="2:8" hidden="1" outlineLevel="1">
      <c r="B2985" s="76"/>
      <c r="C2985" s="2" t="str">
        <f>IF(COUNTIF(C2991:C2992,"Show")&gt;0,"Show","Hide")</f>
        <v>Show</v>
      </c>
      <c r="D2985" s="23" t="s">
        <v>117</v>
      </c>
      <c r="E2985" s="13"/>
      <c r="G2985" s="13"/>
    </row>
    <row r="2986" spans="2:8" hidden="1" outlineLevel="1">
      <c r="B2986" s="76"/>
      <c r="C2986" s="9" t="str">
        <f>C2985</f>
        <v>Show</v>
      </c>
      <c r="D2986" s="23"/>
      <c r="E2986" s="13">
        <v>1.1000000000000001</v>
      </c>
      <c r="F2986" s="11" t="s">
        <v>118</v>
      </c>
      <c r="G2986" s="13"/>
    </row>
    <row r="2987" spans="2:8" hidden="1" outlineLevel="1">
      <c r="B2987" s="76"/>
      <c r="C2987" s="9" t="str">
        <f>C2986</f>
        <v>Show</v>
      </c>
      <c r="D2987" s="23"/>
      <c r="E2987" s="13"/>
      <c r="F2987" s="70" t="s">
        <v>119</v>
      </c>
      <c r="G2987" s="18" t="s">
        <v>677</v>
      </c>
    </row>
    <row r="2988" spans="2:8" hidden="1" outlineLevel="1">
      <c r="B2988" s="76"/>
      <c r="C2988" s="9" t="str">
        <f>C2987</f>
        <v>Show</v>
      </c>
      <c r="D2988" s="23"/>
      <c r="E2988" s="13"/>
      <c r="F2988" s="70"/>
      <c r="G2988" s="78" t="s">
        <v>121</v>
      </c>
      <c r="H2988" s="79" t="s">
        <v>2301</v>
      </c>
    </row>
    <row r="2989" spans="2:8" hidden="1" outlineLevel="1">
      <c r="B2989" s="76"/>
      <c r="C2989" s="9" t="str">
        <f>C2985</f>
        <v>Show</v>
      </c>
      <c r="D2989" s="23" t="s">
        <v>613</v>
      </c>
      <c r="E2989" s="13"/>
      <c r="G2989" s="13"/>
    </row>
    <row r="2990" spans="2:8" hidden="1" outlineLevel="1">
      <c r="B2990" s="76"/>
      <c r="C2990" s="9" t="str">
        <f>C2985</f>
        <v>Show</v>
      </c>
      <c r="D2990" s="23"/>
      <c r="E2990" s="12" t="str">
        <f>IF(COUNTIF(C2991:C2992,"Show")&gt;0,"2.1 Product Requirements","No EGC Requirements")</f>
        <v>2.1 Product Requirements</v>
      </c>
      <c r="G2990" s="13"/>
    </row>
    <row r="2991" spans="2:8" hidden="1" outlineLevel="1">
      <c r="B2991" s="76"/>
      <c r="C2991" s="9" t="str">
        <f>$E$5976</f>
        <v>Show</v>
      </c>
      <c r="D2991" s="23"/>
      <c r="E2991" s="12"/>
      <c r="F2991" s="70" t="s">
        <v>119</v>
      </c>
      <c r="G2991" s="12" t="s">
        <v>3450</v>
      </c>
    </row>
    <row r="2992" spans="2:8" hidden="1" outlineLevel="1">
      <c r="B2992" s="76"/>
      <c r="C2992" s="9" t="str">
        <f>C2991</f>
        <v>Show</v>
      </c>
      <c r="D2992" s="23"/>
      <c r="E2992" s="12"/>
      <c r="F2992" s="70"/>
      <c r="G2992" s="30" t="s">
        <v>121</v>
      </c>
      <c r="H2992" s="75" t="s">
        <v>2530</v>
      </c>
    </row>
    <row r="2993" spans="2:9" hidden="1" outlineLevel="1">
      <c r="B2993" s="76"/>
      <c r="C2993" s="9" t="str">
        <f>C2985</f>
        <v>Show</v>
      </c>
      <c r="D2993" s="23" t="s">
        <v>187</v>
      </c>
      <c r="E2993" s="13"/>
      <c r="G2993" s="13"/>
    </row>
    <row r="2994" spans="2:9" hidden="1" outlineLevel="1">
      <c r="B2994" s="76"/>
      <c r="C2994" s="9" t="str">
        <f>C2985</f>
        <v>Show</v>
      </c>
      <c r="D2994" s="23"/>
      <c r="E2994" s="12" t="s">
        <v>2703</v>
      </c>
      <c r="G2994" s="13"/>
    </row>
    <row r="2995" spans="2:9" hidden="1" outlineLevel="1">
      <c r="B2995" s="76"/>
      <c r="C2995" s="9" t="str">
        <f>C2985</f>
        <v>Show</v>
      </c>
    </row>
    <row r="2996" spans="2:9" collapsed="1">
      <c r="B2996" s="76"/>
      <c r="C2996" s="7" t="s">
        <v>116</v>
      </c>
      <c r="D2996" s="23"/>
      <c r="E2996" s="132"/>
      <c r="F2996" s="12"/>
      <c r="G2996" s="69"/>
    </row>
    <row r="2997" spans="2:9">
      <c r="B2997" s="76"/>
      <c r="C2997" s="7" t="s">
        <v>116</v>
      </c>
      <c r="D2997" s="38" t="s">
        <v>552</v>
      </c>
      <c r="E2997" s="45"/>
      <c r="F2997" s="46"/>
      <c r="G2997" s="39"/>
      <c r="H2997" s="41"/>
      <c r="I2997" s="75"/>
    </row>
    <row r="2998" spans="2:9">
      <c r="B2998" s="23"/>
      <c r="C2998" s="2" t="str">
        <f>C2999</f>
        <v>Show</v>
      </c>
      <c r="D2998" s="60" t="s">
        <v>279</v>
      </c>
      <c r="E2998" s="56"/>
      <c r="F2998" s="56" t="s">
        <v>570</v>
      </c>
      <c r="G2998" s="53"/>
      <c r="H2998" s="54"/>
      <c r="I2998" s="75"/>
    </row>
    <row r="2999" spans="2:9" hidden="1" outlineLevel="1">
      <c r="B2999" s="76"/>
      <c r="C2999" s="2" t="str">
        <f>IF((COUNTIF(C3003:C3021,"Show")+COUNTIF(C3024:C3037,"Show")+COUNTIF(C3040:C3057,"Show"))&gt;0,"Show","Hide")</f>
        <v>Show</v>
      </c>
      <c r="D2999" s="23" t="s">
        <v>117</v>
      </c>
      <c r="E2999" s="13"/>
      <c r="G2999" s="13"/>
    </row>
    <row r="3000" spans="2:9" hidden="1" outlineLevel="1">
      <c r="B3000" s="76"/>
      <c r="C3000" s="9" t="str">
        <f>C2999</f>
        <v>Show</v>
      </c>
      <c r="D3000" s="23"/>
      <c r="E3000" s="13">
        <v>1.1000000000000001</v>
      </c>
      <c r="F3000" s="11" t="s">
        <v>118</v>
      </c>
      <c r="G3000" s="13"/>
    </row>
    <row r="3001" spans="2:9" hidden="1" outlineLevel="1">
      <c r="B3001" s="76"/>
      <c r="C3001" s="9" t="str">
        <f>C3000</f>
        <v>Show</v>
      </c>
      <c r="D3001" s="23"/>
      <c r="E3001" s="13"/>
      <c r="F3001" s="70" t="s">
        <v>119</v>
      </c>
      <c r="G3001" s="18" t="s">
        <v>677</v>
      </c>
    </row>
    <row r="3002" spans="2:9" hidden="1" outlineLevel="1">
      <c r="B3002" s="76"/>
      <c r="C3002" s="9" t="str">
        <f>C3001</f>
        <v>Show</v>
      </c>
      <c r="D3002" s="23"/>
      <c r="E3002" s="13"/>
      <c r="F3002" s="70"/>
      <c r="G3002" s="78" t="s">
        <v>121</v>
      </c>
      <c r="H3002" s="79" t="s">
        <v>2301</v>
      </c>
    </row>
    <row r="3003" spans="2:9" hidden="1" outlineLevel="1">
      <c r="B3003" s="76"/>
      <c r="C3003" s="9" t="str">
        <f>IF(COUNTIF(C3004:C3021,"Show")&gt;0,"Show","Hide")</f>
        <v>Show</v>
      </c>
      <c r="D3003" s="23"/>
      <c r="E3003" s="13">
        <v>1.2</v>
      </c>
      <c r="F3003" s="71" t="s">
        <v>131</v>
      </c>
      <c r="G3003" s="78"/>
    </row>
    <row r="3004" spans="2:9" hidden="1" outlineLevel="1">
      <c r="B3004" s="76"/>
      <c r="C3004" s="2" t="str">
        <f>$D$5953</f>
        <v>Show</v>
      </c>
      <c r="D3004" s="23"/>
      <c r="E3004" s="13"/>
      <c r="F3004" s="70" t="s">
        <v>119</v>
      </c>
      <c r="G3004" s="11" t="s">
        <v>3438</v>
      </c>
    </row>
    <row r="3005" spans="2:9" hidden="1" outlineLevel="1">
      <c r="B3005" s="76"/>
      <c r="C3005" s="2" t="str">
        <f>C3004</f>
        <v>Show</v>
      </c>
      <c r="D3005" s="23"/>
      <c r="E3005" s="13"/>
      <c r="G3005" s="78" t="s">
        <v>121</v>
      </c>
      <c r="H3005" s="75" t="s">
        <v>2787</v>
      </c>
    </row>
    <row r="3006" spans="2:9" hidden="1" outlineLevel="1">
      <c r="B3006" s="76"/>
      <c r="C3006" s="9" t="str">
        <f>$D$5964</f>
        <v>Show</v>
      </c>
      <c r="D3006" s="23"/>
      <c r="E3006" s="13"/>
      <c r="F3006" s="70" t="str">
        <f>CHAR(65+(COUNTIF(C$3004:C3005,"Show")/2))&amp;"."</f>
        <v>B.</v>
      </c>
      <c r="G3006" s="12" t="s">
        <v>3410</v>
      </c>
    </row>
    <row r="3007" spans="2:9" hidden="1" outlineLevel="1">
      <c r="B3007" s="76"/>
      <c r="C3007" s="9" t="str">
        <f>C3006</f>
        <v>Show</v>
      </c>
      <c r="D3007" s="23"/>
      <c r="E3007" s="13"/>
      <c r="F3007" s="70"/>
      <c r="G3007" s="78" t="s">
        <v>121</v>
      </c>
      <c r="H3007" s="75" t="s">
        <v>2765</v>
      </c>
    </row>
    <row r="3008" spans="2:9" hidden="1" outlineLevel="1">
      <c r="B3008" s="76"/>
      <c r="C3008" s="9" t="str">
        <f>$D$5965</f>
        <v>Show</v>
      </c>
      <c r="D3008" s="23"/>
      <c r="E3008" s="13"/>
      <c r="F3008" s="70" t="str">
        <f>CHAR(65+(COUNTIF(C$3004:C3007,"Show")/2))&amp;"."</f>
        <v>C.</v>
      </c>
      <c r="G3008" s="12" t="s">
        <v>3414</v>
      </c>
    </row>
    <row r="3009" spans="2:8" hidden="1" outlineLevel="1">
      <c r="B3009" s="76"/>
      <c r="C3009" s="9" t="str">
        <f>C3008</f>
        <v>Show</v>
      </c>
      <c r="D3009" s="23"/>
      <c r="E3009" s="13"/>
      <c r="F3009" s="70"/>
      <c r="G3009" s="78" t="s">
        <v>121</v>
      </c>
      <c r="H3009" s="75" t="s">
        <v>2350</v>
      </c>
    </row>
    <row r="3010" spans="2:8" hidden="1" outlineLevel="1">
      <c r="B3010" s="76"/>
      <c r="C3010" s="9" t="str">
        <f>$D$5966</f>
        <v>Show</v>
      </c>
      <c r="D3010" s="23"/>
      <c r="E3010" s="13"/>
      <c r="F3010" s="70" t="str">
        <f>CHAR(65+(COUNTIF(C$3004:C3009,"Show")/2))&amp;"."</f>
        <v>D.</v>
      </c>
      <c r="G3010" s="12" t="s">
        <v>3449</v>
      </c>
    </row>
    <row r="3011" spans="2:8" hidden="1" outlineLevel="1">
      <c r="B3011" s="76"/>
      <c r="C3011" s="9" t="str">
        <f>C3010</f>
        <v>Show</v>
      </c>
      <c r="D3011" s="23"/>
      <c r="E3011" s="13"/>
      <c r="F3011" s="70"/>
      <c r="G3011" s="78" t="s">
        <v>121</v>
      </c>
      <c r="H3011" s="75" t="s">
        <v>2336</v>
      </c>
    </row>
    <row r="3012" spans="2:8" hidden="1" outlineLevel="1">
      <c r="B3012" s="76"/>
      <c r="C3012" s="9" t="str">
        <f>$D$5976</f>
        <v>Show</v>
      </c>
      <c r="D3012" s="23"/>
      <c r="E3012" s="13"/>
      <c r="F3012" s="70" t="str">
        <f>CHAR(65+(COUNTIF(C$3004:C3011,"Show")/2))&amp;"."</f>
        <v>E.</v>
      </c>
      <c r="G3012" s="12" t="s">
        <v>3450</v>
      </c>
    </row>
    <row r="3013" spans="2:8" hidden="1" outlineLevel="1">
      <c r="B3013" s="76"/>
      <c r="C3013" s="9" t="str">
        <f>C3012</f>
        <v>Show</v>
      </c>
      <c r="D3013" s="23"/>
      <c r="E3013" s="13"/>
      <c r="F3013" s="70"/>
      <c r="G3013" s="78" t="s">
        <v>121</v>
      </c>
      <c r="H3013" s="75" t="s">
        <v>2529</v>
      </c>
    </row>
    <row r="3014" spans="2:8" hidden="1" outlineLevel="1">
      <c r="B3014" s="12" t="s">
        <v>2697</v>
      </c>
      <c r="C3014" s="9" t="str">
        <f>$D$5986</f>
        <v>Show</v>
      </c>
      <c r="D3014" s="23"/>
      <c r="E3014" s="13"/>
      <c r="F3014" s="70" t="str">
        <f>CHAR(65+(COUNTIF(C$3004:C3013,"Show")/2))&amp;"."</f>
        <v>F.</v>
      </c>
      <c r="G3014" s="12" t="s">
        <v>3448</v>
      </c>
    </row>
    <row r="3015" spans="2:8" hidden="1" outlineLevel="1">
      <c r="B3015" s="12" t="s">
        <v>2697</v>
      </c>
      <c r="C3015" s="9" t="str">
        <f>C3014</f>
        <v>Show</v>
      </c>
      <c r="D3015" s="23"/>
      <c r="E3015" s="13"/>
      <c r="F3015" s="70"/>
      <c r="G3015" s="78" t="s">
        <v>121</v>
      </c>
      <c r="H3015" s="75" t="s">
        <v>2407</v>
      </c>
    </row>
    <row r="3016" spans="2:8" hidden="1" outlineLevel="1">
      <c r="B3016" s="12" t="s">
        <v>2697</v>
      </c>
      <c r="C3016" s="9" t="str">
        <f>$D$5987</f>
        <v>Show</v>
      </c>
      <c r="D3016" s="23"/>
      <c r="E3016" s="13"/>
      <c r="F3016" s="70" t="str">
        <f>CHAR(65+(COUNTIF(C$3004:C3015,"Show")/2))&amp;"."</f>
        <v>G.</v>
      </c>
      <c r="G3016" s="12" t="s">
        <v>3416</v>
      </c>
    </row>
    <row r="3017" spans="2:8" hidden="1" outlineLevel="1">
      <c r="B3017" s="12" t="s">
        <v>2697</v>
      </c>
      <c r="C3017" s="9" t="str">
        <f>C3016</f>
        <v>Show</v>
      </c>
      <c r="D3017" s="23"/>
      <c r="E3017" s="13"/>
      <c r="F3017" s="70"/>
      <c r="G3017" s="78" t="s">
        <v>121</v>
      </c>
      <c r="H3017" s="75" t="s">
        <v>2356</v>
      </c>
    </row>
    <row r="3018" spans="2:8" hidden="1" outlineLevel="1">
      <c r="B3018" s="76"/>
      <c r="C3018" s="9" t="str">
        <f>$D$5992</f>
        <v>Show</v>
      </c>
      <c r="D3018" s="23"/>
      <c r="E3018" s="13"/>
      <c r="F3018" s="70" t="str">
        <f>CHAR(65+(COUNTIF(C$3004:C3017,"Show")/2))&amp;"."</f>
        <v>H.</v>
      </c>
      <c r="G3018" s="12" t="s">
        <v>3447</v>
      </c>
    </row>
    <row r="3019" spans="2:8" hidden="1" outlineLevel="1">
      <c r="B3019" s="76"/>
      <c r="C3019" s="9" t="str">
        <f>C3018</f>
        <v>Show</v>
      </c>
      <c r="D3019" s="23"/>
      <c r="E3019" s="13"/>
      <c r="F3019" s="70"/>
      <c r="G3019" s="78" t="s">
        <v>121</v>
      </c>
      <c r="H3019" s="75" t="s">
        <v>2788</v>
      </c>
    </row>
    <row r="3020" spans="2:8" hidden="1" outlineLevel="1">
      <c r="B3020" s="76"/>
      <c r="C3020" s="9" t="str">
        <f>$D$5993</f>
        <v>Show</v>
      </c>
      <c r="D3020" s="23"/>
      <c r="E3020" s="13"/>
      <c r="F3020" s="70" t="str">
        <f>CHAR(65+(COUNTIF(C$3004:C3019,"Show")/2))&amp;"."</f>
        <v>I.</v>
      </c>
      <c r="G3020" s="12" t="s">
        <v>3453</v>
      </c>
    </row>
    <row r="3021" spans="2:8" hidden="1" outlineLevel="1">
      <c r="B3021" s="76"/>
      <c r="C3021" s="9" t="str">
        <f>C3020</f>
        <v>Show</v>
      </c>
      <c r="D3021" s="23"/>
      <c r="E3021" s="13"/>
      <c r="F3021" s="70"/>
      <c r="G3021" s="78" t="s">
        <v>121</v>
      </c>
      <c r="H3021" s="75" t="s">
        <v>2789</v>
      </c>
    </row>
    <row r="3022" spans="2:8" hidden="1" outlineLevel="1">
      <c r="B3022" s="76"/>
      <c r="C3022" s="9" t="str">
        <f>C2999</f>
        <v>Show</v>
      </c>
      <c r="D3022" s="23" t="s">
        <v>613</v>
      </c>
      <c r="E3022" s="13"/>
      <c r="F3022" s="70"/>
      <c r="G3022" s="13"/>
    </row>
    <row r="3023" spans="2:8" hidden="1" outlineLevel="1">
      <c r="B3023" s="76"/>
      <c r="C3023" s="9" t="str">
        <f>C2999</f>
        <v>Show</v>
      </c>
      <c r="D3023" s="23"/>
      <c r="E3023" s="12" t="str">
        <f>IF(COUNTIF(C3024:C3037,"Show")&gt;0,"2.1 Product Requirements","No EGC Requirements")</f>
        <v>2.1 Product Requirements</v>
      </c>
      <c r="G3023" s="13"/>
    </row>
    <row r="3024" spans="2:8" hidden="1" outlineLevel="1">
      <c r="B3024" s="76"/>
      <c r="C3024" s="9" t="str">
        <f>$E$5953</f>
        <v>Show</v>
      </c>
      <c r="D3024" s="23"/>
      <c r="E3024" s="12"/>
      <c r="F3024" s="70" t="s">
        <v>119</v>
      </c>
      <c r="G3024" s="11" t="s">
        <v>3438</v>
      </c>
    </row>
    <row r="3025" spans="2:8" hidden="1" outlineLevel="1">
      <c r="B3025" s="76"/>
      <c r="C3025" s="9" t="str">
        <f>C3024</f>
        <v>Show</v>
      </c>
      <c r="D3025" s="23"/>
      <c r="E3025" s="12"/>
      <c r="G3025" s="78" t="s">
        <v>121</v>
      </c>
      <c r="H3025" s="75" t="s">
        <v>2548</v>
      </c>
    </row>
    <row r="3026" spans="2:8" hidden="1" outlineLevel="1">
      <c r="B3026" s="76"/>
      <c r="C3026" s="9" t="str">
        <f>$E$5964</f>
        <v>Show</v>
      </c>
      <c r="D3026" s="23"/>
      <c r="E3026" s="12"/>
      <c r="F3026" s="70" t="str">
        <f>CHAR(65+(COUNTIF(C$3024:C3025,"Show")/2))&amp;"."</f>
        <v>B.</v>
      </c>
      <c r="G3026" s="12" t="s">
        <v>3410</v>
      </c>
    </row>
    <row r="3027" spans="2:8" hidden="1" outlineLevel="1">
      <c r="B3027" s="76"/>
      <c r="C3027" s="9" t="str">
        <f>C3026</f>
        <v>Show</v>
      </c>
      <c r="D3027" s="23"/>
      <c r="E3027" s="12"/>
      <c r="F3027" s="70"/>
      <c r="G3027" s="30" t="s">
        <v>121</v>
      </c>
      <c r="H3027" s="75" t="s">
        <v>2337</v>
      </c>
    </row>
    <row r="3028" spans="2:8" hidden="1" outlineLevel="1">
      <c r="B3028" s="76"/>
      <c r="C3028" s="9" t="str">
        <f>$E$5965</f>
        <v>Show</v>
      </c>
      <c r="D3028" s="23"/>
      <c r="E3028" s="12"/>
      <c r="F3028" s="70" t="str">
        <f>CHAR(65+(COUNTIF(C$3024:C3027,"Show")/2))&amp;"."</f>
        <v>C.</v>
      </c>
      <c r="G3028" s="12" t="s">
        <v>3414</v>
      </c>
    </row>
    <row r="3029" spans="2:8" hidden="1" outlineLevel="1">
      <c r="B3029" s="76"/>
      <c r="C3029" s="9" t="str">
        <f>C3028</f>
        <v>Show</v>
      </c>
      <c r="D3029" s="23"/>
      <c r="E3029" s="12"/>
      <c r="F3029" s="70"/>
      <c r="G3029" s="30" t="s">
        <v>121</v>
      </c>
      <c r="H3029" s="75" t="s">
        <v>2351</v>
      </c>
    </row>
    <row r="3030" spans="2:8" hidden="1" outlineLevel="1">
      <c r="B3030" s="76"/>
      <c r="C3030" s="9" t="str">
        <f>$E$5966</f>
        <v>Show</v>
      </c>
      <c r="D3030" s="23"/>
      <c r="E3030" s="12"/>
      <c r="F3030" s="70" t="str">
        <f>CHAR(65+(COUNTIF(C$3024:C3029,"Show")/2))&amp;"."</f>
        <v>D.</v>
      </c>
      <c r="G3030" s="12" t="s">
        <v>3449</v>
      </c>
    </row>
    <row r="3031" spans="2:8" hidden="1" outlineLevel="1">
      <c r="B3031" s="76"/>
      <c r="C3031" s="9" t="str">
        <f>C3030</f>
        <v>Show</v>
      </c>
      <c r="D3031" s="23"/>
      <c r="E3031" s="12"/>
      <c r="F3031" s="70"/>
      <c r="G3031" s="30" t="s">
        <v>121</v>
      </c>
      <c r="H3031" s="75" t="s">
        <v>2338</v>
      </c>
    </row>
    <row r="3032" spans="2:8" hidden="1" outlineLevel="1">
      <c r="B3032" s="76"/>
      <c r="C3032" s="9" t="str">
        <f>$E$5976</f>
        <v>Show</v>
      </c>
      <c r="D3032" s="23"/>
      <c r="E3032" s="12"/>
      <c r="F3032" s="70" t="str">
        <f>CHAR(65+(COUNTIF(C$3024:C3031,"Show")/2))&amp;"."</f>
        <v>E.</v>
      </c>
      <c r="G3032" s="12" t="s">
        <v>3450</v>
      </c>
    </row>
    <row r="3033" spans="2:8" hidden="1" outlineLevel="1">
      <c r="B3033" s="76"/>
      <c r="C3033" s="9" t="str">
        <f>C3032</f>
        <v>Show</v>
      </c>
      <c r="D3033" s="23"/>
      <c r="E3033" s="12"/>
      <c r="F3033" s="70"/>
      <c r="G3033" s="30" t="s">
        <v>121</v>
      </c>
      <c r="H3033" s="75" t="s">
        <v>2530</v>
      </c>
    </row>
    <row r="3034" spans="2:8" hidden="1" outlineLevel="1">
      <c r="B3034" s="76"/>
      <c r="C3034" s="9" t="str">
        <f>$E$5986</f>
        <v>Show</v>
      </c>
      <c r="D3034" s="23"/>
      <c r="E3034" s="12"/>
      <c r="F3034" s="70" t="str">
        <f>CHAR(65+(COUNTIF(C$3024:C3033,"Show")/2))&amp;"."</f>
        <v>F.</v>
      </c>
      <c r="G3034" s="12" t="s">
        <v>3448</v>
      </c>
    </row>
    <row r="3035" spans="2:8" hidden="1" outlineLevel="1">
      <c r="B3035" s="76"/>
      <c r="C3035" s="9" t="str">
        <f>C3034</f>
        <v>Show</v>
      </c>
      <c r="D3035" s="23"/>
      <c r="E3035" s="12"/>
      <c r="F3035" s="70"/>
      <c r="G3035" s="78" t="s">
        <v>121</v>
      </c>
      <c r="H3035" s="75" t="s">
        <v>2409</v>
      </c>
    </row>
    <row r="3036" spans="2:8" hidden="1" outlineLevel="1">
      <c r="B3036" s="76"/>
      <c r="C3036" s="9" t="str">
        <f>$E$5993</f>
        <v>Show</v>
      </c>
      <c r="D3036" s="23"/>
      <c r="E3036" s="12"/>
      <c r="F3036" s="70" t="str">
        <f>CHAR(65+(COUNTIF(C$3024:C3035,"Show")/2))&amp;"."</f>
        <v>G.</v>
      </c>
      <c r="G3036" s="12" t="s">
        <v>3453</v>
      </c>
    </row>
    <row r="3037" spans="2:8" hidden="1" outlineLevel="1">
      <c r="B3037" s="76"/>
      <c r="C3037" s="9" t="str">
        <f>C3036</f>
        <v>Show</v>
      </c>
      <c r="D3037" s="23"/>
      <c r="E3037" s="12"/>
      <c r="F3037" s="70"/>
      <c r="G3037" s="78" t="s">
        <v>121</v>
      </c>
      <c r="H3037" s="75" t="s">
        <v>2791</v>
      </c>
    </row>
    <row r="3038" spans="2:8" hidden="1" outlineLevel="1">
      <c r="B3038" s="76"/>
      <c r="C3038" s="9" t="str">
        <f>C2999</f>
        <v>Show</v>
      </c>
      <c r="D3038" s="23" t="s">
        <v>187</v>
      </c>
      <c r="E3038" s="13"/>
      <c r="G3038" s="13"/>
    </row>
    <row r="3039" spans="2:8" hidden="1" outlineLevel="1">
      <c r="B3039" s="76"/>
      <c r="C3039" s="9" t="str">
        <f>C2999</f>
        <v>Show</v>
      </c>
      <c r="D3039" s="23"/>
      <c r="E3039" s="12" t="str">
        <f>IF(COUNTIF(C3042:C3049,"Show")&gt;0,"3.1 Execution Requirements","No EGC Requirements")</f>
        <v>3.1 Execution Requirements</v>
      </c>
      <c r="G3039" s="13"/>
    </row>
    <row r="3040" spans="2:8" hidden="1" outlineLevel="1">
      <c r="B3040" s="76"/>
      <c r="C3040" s="9" t="str">
        <f>$F$5953</f>
        <v>Show</v>
      </c>
      <c r="D3040" s="23"/>
      <c r="E3040" s="12"/>
      <c r="F3040" s="70" t="s">
        <v>119</v>
      </c>
      <c r="G3040" s="11" t="s">
        <v>3438</v>
      </c>
    </row>
    <row r="3041" spans="2:8" hidden="1" outlineLevel="1">
      <c r="B3041" s="76"/>
      <c r="C3041" s="9" t="str">
        <f>C3040</f>
        <v>Show</v>
      </c>
      <c r="D3041" s="23"/>
      <c r="E3041" s="12"/>
      <c r="G3041" s="30" t="s">
        <v>121</v>
      </c>
      <c r="H3041" s="75" t="s">
        <v>2550</v>
      </c>
    </row>
    <row r="3042" spans="2:8" hidden="1" outlineLevel="1">
      <c r="B3042" s="76"/>
      <c r="C3042" s="9" t="str">
        <f>$F$5964</f>
        <v>Show</v>
      </c>
      <c r="D3042" s="23"/>
      <c r="E3042" s="13"/>
      <c r="F3042" s="70" t="str">
        <f>CHAR(65+(COUNTIF(C$3040:C3041,"Show")/2))&amp;"."</f>
        <v>B.</v>
      </c>
      <c r="G3042" s="12" t="s">
        <v>3410</v>
      </c>
    </row>
    <row r="3043" spans="2:8" ht="30" hidden="1" outlineLevel="1">
      <c r="B3043" s="76"/>
      <c r="C3043" s="9" t="str">
        <f>C3042</f>
        <v>Show</v>
      </c>
      <c r="D3043" s="23"/>
      <c r="E3043" s="13"/>
      <c r="F3043" s="70"/>
      <c r="G3043" s="30" t="s">
        <v>121</v>
      </c>
      <c r="H3043" s="75" t="s">
        <v>2339</v>
      </c>
    </row>
    <row r="3044" spans="2:8" hidden="1" outlineLevel="1">
      <c r="B3044" s="76"/>
      <c r="C3044" s="9" t="str">
        <f>$F$5965</f>
        <v>Show</v>
      </c>
      <c r="D3044" s="23"/>
      <c r="E3044" s="13"/>
      <c r="F3044" s="70" t="str">
        <f>CHAR(65+(COUNTIF(C$3040:C3043,"Show")/2))&amp;"."</f>
        <v>C.</v>
      </c>
      <c r="G3044" s="12" t="s">
        <v>3414</v>
      </c>
    </row>
    <row r="3045" spans="2:8" ht="30" hidden="1" outlineLevel="1">
      <c r="B3045" s="76"/>
      <c r="C3045" s="9" t="str">
        <f>C3044</f>
        <v>Show</v>
      </c>
      <c r="D3045" s="23"/>
      <c r="E3045" s="13"/>
      <c r="F3045" s="70"/>
      <c r="G3045" s="30" t="s">
        <v>121</v>
      </c>
      <c r="H3045" s="75" t="s">
        <v>2352</v>
      </c>
    </row>
    <row r="3046" spans="2:8" hidden="1" outlineLevel="1">
      <c r="B3046" s="76"/>
      <c r="C3046" s="9" t="str">
        <f>$F$5966</f>
        <v>Show</v>
      </c>
      <c r="D3046" s="23"/>
      <c r="E3046" s="13"/>
      <c r="F3046" s="70" t="str">
        <f>CHAR(65+(COUNTIF(C$3040:C3045,"Show")/2))&amp;"."</f>
        <v>D.</v>
      </c>
      <c r="G3046" s="12" t="s">
        <v>3449</v>
      </c>
    </row>
    <row r="3047" spans="2:8" hidden="1" outlineLevel="1">
      <c r="B3047" s="76"/>
      <c r="C3047" s="9" t="str">
        <f>C3046</f>
        <v>Show</v>
      </c>
      <c r="D3047" s="23"/>
      <c r="E3047" s="13"/>
      <c r="F3047" s="70"/>
      <c r="G3047" s="30" t="s">
        <v>121</v>
      </c>
      <c r="H3047" s="75" t="s">
        <v>2340</v>
      </c>
    </row>
    <row r="3048" spans="2:8" hidden="1" outlineLevel="1">
      <c r="B3048" s="76"/>
      <c r="C3048" s="9" t="str">
        <f>$F$5976</f>
        <v>Show</v>
      </c>
      <c r="D3048" s="23"/>
      <c r="E3048" s="13"/>
      <c r="F3048" s="70" t="str">
        <f>CHAR(65+(COUNTIF(C$3040:C3047,"Show")/2))&amp;"."</f>
        <v>E.</v>
      </c>
      <c r="G3048" s="12" t="s">
        <v>3450</v>
      </c>
    </row>
    <row r="3049" spans="2:8" hidden="1" outlineLevel="1">
      <c r="B3049" s="76"/>
      <c r="C3049" s="9" t="str">
        <f>C3048</f>
        <v>Show</v>
      </c>
      <c r="D3049" s="23"/>
      <c r="E3049" s="13"/>
      <c r="F3049" s="70"/>
      <c r="G3049" s="78" t="s">
        <v>121</v>
      </c>
      <c r="H3049" s="75" t="s">
        <v>2766</v>
      </c>
    </row>
    <row r="3050" spans="2:8" hidden="1" outlineLevel="1">
      <c r="B3050" s="76"/>
      <c r="C3050" s="9" t="str">
        <f>$F$5986</f>
        <v>Show</v>
      </c>
      <c r="D3050" s="23"/>
      <c r="E3050" s="13"/>
      <c r="F3050" s="70" t="str">
        <f>CHAR(65+(COUNTIF(C$3040:C3049,"Show")/2))&amp;"."</f>
        <v>F.</v>
      </c>
      <c r="G3050" s="12" t="s">
        <v>3448</v>
      </c>
    </row>
    <row r="3051" spans="2:8" ht="30" hidden="1" outlineLevel="1">
      <c r="B3051" s="76"/>
      <c r="C3051" s="9" t="str">
        <f>C3050</f>
        <v>Show</v>
      </c>
      <c r="D3051" s="23"/>
      <c r="E3051" s="13"/>
      <c r="F3051" s="70"/>
      <c r="G3051" s="78" t="s">
        <v>121</v>
      </c>
      <c r="H3051" s="75" t="s">
        <v>2762</v>
      </c>
    </row>
    <row r="3052" spans="2:8" hidden="1" outlineLevel="1">
      <c r="B3052" s="76"/>
      <c r="C3052" s="9" t="str">
        <f>$F$5987</f>
        <v>Show</v>
      </c>
      <c r="D3052" s="23"/>
      <c r="E3052" s="13"/>
      <c r="F3052" s="70" t="str">
        <f>CHAR(65+(COUNTIF(C$3040:C3051,"Show")/2))&amp;"."</f>
        <v>G.</v>
      </c>
      <c r="G3052" s="12" t="s">
        <v>3416</v>
      </c>
    </row>
    <row r="3053" spans="2:8" ht="30" hidden="1" outlineLevel="1">
      <c r="B3053" s="76"/>
      <c r="C3053" s="9" t="str">
        <f>C3052</f>
        <v>Show</v>
      </c>
      <c r="D3053" s="23"/>
      <c r="E3053" s="13"/>
      <c r="F3053" s="70"/>
      <c r="G3053" s="78" t="s">
        <v>121</v>
      </c>
      <c r="H3053" s="75" t="s">
        <v>2357</v>
      </c>
    </row>
    <row r="3054" spans="2:8" hidden="1" outlineLevel="1">
      <c r="B3054" s="76"/>
      <c r="C3054" s="9" t="str">
        <f>$F$5992</f>
        <v>Show</v>
      </c>
      <c r="D3054" s="23"/>
      <c r="E3054" s="13"/>
      <c r="F3054" s="70" t="str">
        <f>CHAR(65+(COUNTIF(C$3040:C3053,"Show")/2))&amp;"."</f>
        <v>H.</v>
      </c>
      <c r="G3054" s="12" t="s">
        <v>3447</v>
      </c>
    </row>
    <row r="3055" spans="2:8" ht="30" hidden="1" outlineLevel="1">
      <c r="B3055" s="76"/>
      <c r="C3055" s="9" t="str">
        <f>C3054</f>
        <v>Show</v>
      </c>
      <c r="D3055" s="23"/>
      <c r="E3055" s="13"/>
      <c r="F3055" s="70"/>
      <c r="G3055" s="78" t="s">
        <v>121</v>
      </c>
      <c r="H3055" s="75" t="s">
        <v>2792</v>
      </c>
    </row>
    <row r="3056" spans="2:8" hidden="1" outlineLevel="1">
      <c r="B3056" s="76"/>
      <c r="C3056" s="9" t="str">
        <f>$F$5993</f>
        <v>Show</v>
      </c>
      <c r="D3056" s="23"/>
      <c r="E3056" s="13"/>
      <c r="F3056" s="70" t="str">
        <f>CHAR(65+(COUNTIF(C$3040:C3055,"Show")/2))&amp;"."</f>
        <v>I.</v>
      </c>
      <c r="G3056" s="12" t="s">
        <v>3453</v>
      </c>
    </row>
    <row r="3057" spans="2:9" ht="30" hidden="1" outlineLevel="1">
      <c r="B3057" s="76"/>
      <c r="C3057" s="9" t="str">
        <f>C3056</f>
        <v>Show</v>
      </c>
      <c r="D3057" s="23"/>
      <c r="E3057" s="13"/>
      <c r="G3057" s="78" t="s">
        <v>121</v>
      </c>
      <c r="H3057" s="75" t="s">
        <v>2660</v>
      </c>
    </row>
    <row r="3058" spans="2:9" hidden="1" outlineLevel="1">
      <c r="B3058" s="76"/>
      <c r="C3058" s="9" t="str">
        <f>C2999</f>
        <v>Show</v>
      </c>
    </row>
    <row r="3059" spans="2:9" collapsed="1">
      <c r="B3059" s="23"/>
      <c r="C3059" s="2" t="str">
        <f>C3060</f>
        <v>Show</v>
      </c>
      <c r="D3059" s="55" t="s">
        <v>1647</v>
      </c>
      <c r="E3059" s="56"/>
      <c r="F3059" s="57" t="s">
        <v>1642</v>
      </c>
      <c r="G3059" s="53"/>
      <c r="H3059" s="54"/>
      <c r="I3059" s="75"/>
    </row>
    <row r="3060" spans="2:9" hidden="1" outlineLevel="1">
      <c r="B3060" s="76"/>
      <c r="C3060" s="2" t="str">
        <f>IF((COUNTIF(C3064:C3066,"Show")+COUNTIF(C3073:C3074,"Show")+COUNTIF(C3069:C3070,"Show"))&gt;0,"Show","Hide")</f>
        <v>Show</v>
      </c>
      <c r="D3060" s="23" t="s">
        <v>117</v>
      </c>
      <c r="E3060" s="13"/>
      <c r="G3060" s="13"/>
    </row>
    <row r="3061" spans="2:9" hidden="1" outlineLevel="1">
      <c r="B3061" s="76"/>
      <c r="C3061" s="9" t="str">
        <f>C3060</f>
        <v>Show</v>
      </c>
      <c r="D3061" s="23"/>
      <c r="E3061" s="13">
        <v>1.1000000000000001</v>
      </c>
      <c r="F3061" s="11" t="s">
        <v>118</v>
      </c>
      <c r="G3061" s="13"/>
    </row>
    <row r="3062" spans="2:9" hidden="1" outlineLevel="1">
      <c r="B3062" s="76"/>
      <c r="C3062" s="9" t="str">
        <f>C3061</f>
        <v>Show</v>
      </c>
      <c r="D3062" s="23"/>
      <c r="E3062" s="13"/>
      <c r="F3062" s="70" t="s">
        <v>119</v>
      </c>
      <c r="G3062" s="18" t="s">
        <v>677</v>
      </c>
    </row>
    <row r="3063" spans="2:9" hidden="1" outlineLevel="1">
      <c r="B3063" s="76"/>
      <c r="C3063" s="9" t="str">
        <f>C3062</f>
        <v>Show</v>
      </c>
      <c r="D3063" s="23"/>
      <c r="E3063" s="13"/>
      <c r="F3063" s="70"/>
      <c r="G3063" s="78" t="s">
        <v>121</v>
      </c>
      <c r="H3063" s="79" t="s">
        <v>2301</v>
      </c>
    </row>
    <row r="3064" spans="2:9" hidden="1" outlineLevel="1">
      <c r="B3064" s="76"/>
      <c r="C3064" s="9" t="str">
        <f>IF(COUNTIF(C3065:C3066,"Show")&gt;0,"Show","Hide")</f>
        <v>Show</v>
      </c>
      <c r="D3064" s="23"/>
      <c r="E3064" s="13">
        <v>1.2</v>
      </c>
      <c r="F3064" s="71" t="s">
        <v>131</v>
      </c>
      <c r="G3064" s="78"/>
    </row>
    <row r="3065" spans="2:9" hidden="1" outlineLevel="1">
      <c r="B3065" s="76"/>
      <c r="C3065" s="2" t="str">
        <f>$D$5953</f>
        <v>Show</v>
      </c>
      <c r="D3065" s="23"/>
      <c r="E3065" s="13"/>
      <c r="F3065" s="70" t="s">
        <v>119</v>
      </c>
      <c r="G3065" s="11" t="s">
        <v>3438</v>
      </c>
    </row>
    <row r="3066" spans="2:9" hidden="1" outlineLevel="1">
      <c r="B3066" s="76"/>
      <c r="C3066" s="2" t="str">
        <f>C3065</f>
        <v>Show</v>
      </c>
      <c r="D3066" s="23"/>
      <c r="E3066" s="13"/>
      <c r="G3066" s="78" t="s">
        <v>121</v>
      </c>
      <c r="H3066" s="75" t="s">
        <v>2787</v>
      </c>
    </row>
    <row r="3067" spans="2:9" hidden="1" outlineLevel="1">
      <c r="B3067" s="76"/>
      <c r="C3067" s="9" t="str">
        <f>C3060</f>
        <v>Show</v>
      </c>
      <c r="D3067" s="23" t="s">
        <v>613</v>
      </c>
      <c r="E3067" s="13"/>
      <c r="F3067" s="70"/>
      <c r="G3067" s="13"/>
    </row>
    <row r="3068" spans="2:9" hidden="1" outlineLevel="1">
      <c r="B3068" s="76"/>
      <c r="C3068" s="9" t="str">
        <f>C3060</f>
        <v>Show</v>
      </c>
      <c r="D3068" s="23"/>
      <c r="E3068" s="12" t="str">
        <f>IF(COUNTIF(C3069:C3070,"Show")&gt;0,"2.1 Product Requirements","No EGC Requirements")</f>
        <v>2.1 Product Requirements</v>
      </c>
      <c r="G3068" s="13"/>
    </row>
    <row r="3069" spans="2:9" hidden="1" outlineLevel="1">
      <c r="B3069" s="76"/>
      <c r="C3069" s="9" t="str">
        <f>$E$5953</f>
        <v>Show</v>
      </c>
      <c r="D3069" s="23"/>
      <c r="E3069" s="12"/>
      <c r="F3069" s="70" t="s">
        <v>119</v>
      </c>
      <c r="G3069" s="11" t="s">
        <v>3438</v>
      </c>
    </row>
    <row r="3070" spans="2:9" hidden="1" outlineLevel="1">
      <c r="B3070" s="76"/>
      <c r="C3070" s="9" t="str">
        <f>C3069</f>
        <v>Show</v>
      </c>
      <c r="D3070" s="23"/>
      <c r="E3070" s="12"/>
      <c r="G3070" s="78" t="s">
        <v>121</v>
      </c>
      <c r="H3070" s="75" t="s">
        <v>2548</v>
      </c>
    </row>
    <row r="3071" spans="2:9" hidden="1" outlineLevel="1">
      <c r="B3071" s="76"/>
      <c r="C3071" s="9" t="str">
        <f>C3060</f>
        <v>Show</v>
      </c>
      <c r="D3071" s="23" t="s">
        <v>187</v>
      </c>
      <c r="E3071" s="13"/>
      <c r="G3071" s="13"/>
    </row>
    <row r="3072" spans="2:9" hidden="1" outlineLevel="1">
      <c r="B3072" s="76"/>
      <c r="C3072" s="9" t="str">
        <f>C3060</f>
        <v>Show</v>
      </c>
      <c r="D3072" s="23"/>
      <c r="E3072" s="12" t="str">
        <f>IF(COUNTIF(C3073:C3074,"Show")&gt;0,"3.1 Execution Requirements","No EGC Requirements")</f>
        <v>3.1 Execution Requirements</v>
      </c>
      <c r="G3072" s="13"/>
    </row>
    <row r="3073" spans="2:9" hidden="1" outlineLevel="1">
      <c r="B3073" s="76"/>
      <c r="C3073" s="9" t="str">
        <f>$F$5953</f>
        <v>Show</v>
      </c>
      <c r="D3073" s="23"/>
      <c r="E3073" s="12"/>
      <c r="F3073" s="70" t="s">
        <v>119</v>
      </c>
      <c r="G3073" s="11" t="s">
        <v>3438</v>
      </c>
    </row>
    <row r="3074" spans="2:9" hidden="1" outlineLevel="1">
      <c r="B3074" s="76"/>
      <c r="C3074" s="9" t="str">
        <f>C3073</f>
        <v>Show</v>
      </c>
      <c r="D3074" s="23"/>
      <c r="E3074" s="12"/>
      <c r="G3074" s="30" t="s">
        <v>121</v>
      </c>
      <c r="H3074" s="75" t="s">
        <v>2550</v>
      </c>
    </row>
    <row r="3075" spans="2:9" hidden="1" outlineLevel="1">
      <c r="B3075" s="76"/>
      <c r="C3075" s="9" t="str">
        <f>C3060</f>
        <v>Show</v>
      </c>
    </row>
    <row r="3076" spans="2:9" collapsed="1">
      <c r="B3076" s="23"/>
      <c r="C3076" s="2" t="str">
        <f>C3077</f>
        <v>Show</v>
      </c>
      <c r="D3076" s="55" t="s">
        <v>1648</v>
      </c>
      <c r="E3076" s="56"/>
      <c r="F3076" s="57" t="s">
        <v>1643</v>
      </c>
      <c r="G3076" s="53"/>
      <c r="H3076" s="54"/>
      <c r="I3076" s="75"/>
    </row>
    <row r="3077" spans="2:9" hidden="1" outlineLevel="1">
      <c r="B3077" s="76"/>
      <c r="C3077" s="2" t="str">
        <f>IF((COUNTIF(C3081:C3083,"Show")+COUNTIF(C3090:C3091,"Show")+COUNTIF(C3086:C3087,"Show"))&gt;0,"Show","Hide")</f>
        <v>Show</v>
      </c>
      <c r="D3077" s="23" t="s">
        <v>117</v>
      </c>
      <c r="E3077" s="13"/>
      <c r="G3077" s="13"/>
    </row>
    <row r="3078" spans="2:9" hidden="1" outlineLevel="1">
      <c r="B3078" s="76"/>
      <c r="C3078" s="9" t="str">
        <f>C3077</f>
        <v>Show</v>
      </c>
      <c r="D3078" s="23"/>
      <c r="E3078" s="13">
        <v>1.1000000000000001</v>
      </c>
      <c r="F3078" s="11" t="s">
        <v>118</v>
      </c>
      <c r="G3078" s="13"/>
    </row>
    <row r="3079" spans="2:9" hidden="1" outlineLevel="1">
      <c r="B3079" s="76"/>
      <c r="C3079" s="9" t="str">
        <f>C3078</f>
        <v>Show</v>
      </c>
      <c r="D3079" s="23"/>
      <c r="E3079" s="13"/>
      <c r="F3079" s="70" t="s">
        <v>119</v>
      </c>
      <c r="G3079" s="18" t="s">
        <v>677</v>
      </c>
    </row>
    <row r="3080" spans="2:9" hidden="1" outlineLevel="1">
      <c r="B3080" s="76"/>
      <c r="C3080" s="9" t="str">
        <f>C3079</f>
        <v>Show</v>
      </c>
      <c r="D3080" s="23"/>
      <c r="E3080" s="13"/>
      <c r="F3080" s="70"/>
      <c r="G3080" s="78" t="s">
        <v>121</v>
      </c>
      <c r="H3080" s="79" t="s">
        <v>2301</v>
      </c>
    </row>
    <row r="3081" spans="2:9" hidden="1" outlineLevel="1">
      <c r="B3081" s="76"/>
      <c r="C3081" s="9" t="str">
        <f>IF(COUNTIF(C3082:C3083,"Show")&gt;0,"Show","Hide")</f>
        <v>Show</v>
      </c>
      <c r="D3081" s="23"/>
      <c r="E3081" s="13">
        <v>1.2</v>
      </c>
      <c r="F3081" s="71" t="s">
        <v>131</v>
      </c>
      <c r="G3081" s="78"/>
    </row>
    <row r="3082" spans="2:9" hidden="1" outlineLevel="1">
      <c r="B3082" s="76"/>
      <c r="C3082" s="2" t="str">
        <f>$D$5953</f>
        <v>Show</v>
      </c>
      <c r="D3082" s="23"/>
      <c r="E3082" s="13"/>
      <c r="F3082" s="70" t="s">
        <v>119</v>
      </c>
      <c r="G3082" s="11" t="s">
        <v>3438</v>
      </c>
    </row>
    <row r="3083" spans="2:9" hidden="1" outlineLevel="1">
      <c r="B3083" s="76"/>
      <c r="C3083" s="2" t="str">
        <f>C3082</f>
        <v>Show</v>
      </c>
      <c r="D3083" s="23"/>
      <c r="E3083" s="13"/>
      <c r="G3083" s="78" t="s">
        <v>121</v>
      </c>
      <c r="H3083" s="75" t="s">
        <v>2787</v>
      </c>
    </row>
    <row r="3084" spans="2:9" hidden="1" outlineLevel="1">
      <c r="B3084" s="76"/>
      <c r="C3084" s="9" t="str">
        <f>C3077</f>
        <v>Show</v>
      </c>
      <c r="D3084" s="23" t="s">
        <v>613</v>
      </c>
      <c r="E3084" s="13"/>
      <c r="F3084" s="70"/>
      <c r="G3084" s="13"/>
    </row>
    <row r="3085" spans="2:9" hidden="1" outlineLevel="1">
      <c r="B3085" s="76"/>
      <c r="C3085" s="9" t="str">
        <f>C3077</f>
        <v>Show</v>
      </c>
      <c r="D3085" s="23"/>
      <c r="E3085" s="12" t="str">
        <f>IF(COUNTIF(C3086:C3087,"Show")&gt;0,"2.1 Product Requirements","No EGC Requirements")</f>
        <v>2.1 Product Requirements</v>
      </c>
      <c r="G3085" s="13"/>
    </row>
    <row r="3086" spans="2:9" hidden="1" outlineLevel="1">
      <c r="B3086" s="76"/>
      <c r="C3086" s="9" t="str">
        <f>$E$5953</f>
        <v>Show</v>
      </c>
      <c r="D3086" s="23"/>
      <c r="E3086" s="12"/>
      <c r="F3086" s="70" t="s">
        <v>119</v>
      </c>
      <c r="G3086" s="11" t="s">
        <v>3438</v>
      </c>
    </row>
    <row r="3087" spans="2:9" hidden="1" outlineLevel="1">
      <c r="B3087" s="76"/>
      <c r="C3087" s="9" t="str">
        <f>C3086</f>
        <v>Show</v>
      </c>
      <c r="D3087" s="23"/>
      <c r="E3087" s="12"/>
      <c r="G3087" s="78" t="s">
        <v>121</v>
      </c>
      <c r="H3087" s="75" t="s">
        <v>2548</v>
      </c>
    </row>
    <row r="3088" spans="2:9" hidden="1" outlineLevel="1">
      <c r="B3088" s="76"/>
      <c r="C3088" s="9" t="str">
        <f>C3077</f>
        <v>Show</v>
      </c>
      <c r="D3088" s="23" t="s">
        <v>187</v>
      </c>
      <c r="E3088" s="13"/>
      <c r="G3088" s="13"/>
    </row>
    <row r="3089" spans="2:9" hidden="1" outlineLevel="1">
      <c r="B3089" s="76"/>
      <c r="C3089" s="9" t="str">
        <f>C3077</f>
        <v>Show</v>
      </c>
      <c r="D3089" s="23"/>
      <c r="E3089" s="12" t="str">
        <f>IF(COUNTIF(C3090:C3091,"Show")&gt;0,"3.1 Execution Requirements","No EGC Requirements")</f>
        <v>3.1 Execution Requirements</v>
      </c>
      <c r="G3089" s="13"/>
    </row>
    <row r="3090" spans="2:9" hidden="1" outlineLevel="1">
      <c r="B3090" s="76"/>
      <c r="C3090" s="9" t="str">
        <f>$F$5953</f>
        <v>Show</v>
      </c>
      <c r="D3090" s="23"/>
      <c r="E3090" s="12"/>
      <c r="F3090" s="70" t="s">
        <v>119</v>
      </c>
      <c r="G3090" s="11" t="s">
        <v>3438</v>
      </c>
    </row>
    <row r="3091" spans="2:9" hidden="1" outlineLevel="1">
      <c r="B3091" s="76"/>
      <c r="C3091" s="9" t="str">
        <f>C3090</f>
        <v>Show</v>
      </c>
      <c r="D3091" s="23"/>
      <c r="E3091" s="12"/>
      <c r="G3091" s="30" t="s">
        <v>121</v>
      </c>
      <c r="H3091" s="75" t="s">
        <v>2550</v>
      </c>
    </row>
    <row r="3092" spans="2:9" hidden="1" outlineLevel="1">
      <c r="B3092" s="76"/>
      <c r="C3092" s="9" t="str">
        <f>C3077</f>
        <v>Show</v>
      </c>
    </row>
    <row r="3093" spans="2:9" collapsed="1">
      <c r="B3093" s="23"/>
      <c r="C3093" s="2" t="str">
        <f>C3094</f>
        <v>Show</v>
      </c>
      <c r="D3093" s="55" t="s">
        <v>1649</v>
      </c>
      <c r="E3093" s="56"/>
      <c r="F3093" s="57" t="s">
        <v>1644</v>
      </c>
      <c r="G3093" s="53"/>
      <c r="H3093" s="54"/>
      <c r="I3093" s="75"/>
    </row>
    <row r="3094" spans="2:9" hidden="1" outlineLevel="1">
      <c r="B3094" s="76"/>
      <c r="C3094" s="2" t="str">
        <f>IF((COUNTIF(C3098:C3100,"Show")+COUNTIF(C3107:C3108,"Show")+COUNTIF(C3103:C3104,"Show"))&gt;0,"Show","Hide")</f>
        <v>Show</v>
      </c>
      <c r="D3094" s="23" t="s">
        <v>117</v>
      </c>
      <c r="E3094" s="13"/>
      <c r="G3094" s="13"/>
    </row>
    <row r="3095" spans="2:9" hidden="1" outlineLevel="1">
      <c r="B3095" s="76"/>
      <c r="C3095" s="9" t="str">
        <f>C3094</f>
        <v>Show</v>
      </c>
      <c r="D3095" s="23"/>
      <c r="E3095" s="13">
        <v>1.1000000000000001</v>
      </c>
      <c r="F3095" s="11" t="s">
        <v>118</v>
      </c>
      <c r="G3095" s="13"/>
    </row>
    <row r="3096" spans="2:9" hidden="1" outlineLevel="1">
      <c r="B3096" s="76"/>
      <c r="C3096" s="9" t="str">
        <f>C3095</f>
        <v>Show</v>
      </c>
      <c r="D3096" s="23"/>
      <c r="E3096" s="13"/>
      <c r="F3096" s="70" t="s">
        <v>119</v>
      </c>
      <c r="G3096" s="18" t="s">
        <v>677</v>
      </c>
    </row>
    <row r="3097" spans="2:9" hidden="1" outlineLevel="1">
      <c r="B3097" s="76"/>
      <c r="C3097" s="9" t="str">
        <f>C3096</f>
        <v>Show</v>
      </c>
      <c r="D3097" s="23"/>
      <c r="E3097" s="13"/>
      <c r="F3097" s="70"/>
      <c r="G3097" s="78" t="s">
        <v>121</v>
      </c>
      <c r="H3097" s="79" t="s">
        <v>2301</v>
      </c>
    </row>
    <row r="3098" spans="2:9" hidden="1" outlineLevel="1">
      <c r="B3098" s="76"/>
      <c r="C3098" s="9" t="str">
        <f>IF(COUNTIF(C3099:C3100,"Show")&gt;0,"Show","Hide")</f>
        <v>Show</v>
      </c>
      <c r="D3098" s="23"/>
      <c r="E3098" s="13">
        <v>1.2</v>
      </c>
      <c r="F3098" s="71" t="s">
        <v>131</v>
      </c>
      <c r="G3098" s="78"/>
    </row>
    <row r="3099" spans="2:9" hidden="1" outlineLevel="1">
      <c r="B3099" s="76"/>
      <c r="C3099" s="2" t="str">
        <f>$D$5953</f>
        <v>Show</v>
      </c>
      <c r="D3099" s="23"/>
      <c r="E3099" s="13"/>
      <c r="F3099" s="70" t="s">
        <v>119</v>
      </c>
      <c r="G3099" s="11" t="s">
        <v>3438</v>
      </c>
    </row>
    <row r="3100" spans="2:9" hidden="1" outlineLevel="1">
      <c r="B3100" s="76"/>
      <c r="C3100" s="2" t="str">
        <f>C3099</f>
        <v>Show</v>
      </c>
      <c r="D3100" s="23"/>
      <c r="E3100" s="13"/>
      <c r="G3100" s="78" t="s">
        <v>121</v>
      </c>
      <c r="H3100" s="75" t="s">
        <v>2787</v>
      </c>
    </row>
    <row r="3101" spans="2:9" hidden="1" outlineLevel="1">
      <c r="B3101" s="76"/>
      <c r="C3101" s="9" t="str">
        <f>C3094</f>
        <v>Show</v>
      </c>
      <c r="D3101" s="23" t="s">
        <v>613</v>
      </c>
      <c r="E3101" s="13"/>
      <c r="F3101" s="70"/>
      <c r="G3101" s="13"/>
    </row>
    <row r="3102" spans="2:9" hidden="1" outlineLevel="1">
      <c r="B3102" s="76"/>
      <c r="C3102" s="9" t="str">
        <f>C3094</f>
        <v>Show</v>
      </c>
      <c r="D3102" s="23"/>
      <c r="E3102" s="12" t="str">
        <f>IF(COUNTIF(C3103:C3104,"Show")&gt;0,"2.1 Product Requirements","No EGC Requirements")</f>
        <v>2.1 Product Requirements</v>
      </c>
      <c r="G3102" s="13"/>
    </row>
    <row r="3103" spans="2:9" hidden="1" outlineLevel="1">
      <c r="B3103" s="76"/>
      <c r="C3103" s="9" t="str">
        <f>$E$5953</f>
        <v>Show</v>
      </c>
      <c r="D3103" s="23"/>
      <c r="E3103" s="12"/>
      <c r="F3103" s="70" t="s">
        <v>119</v>
      </c>
      <c r="G3103" s="11" t="s">
        <v>3438</v>
      </c>
    </row>
    <row r="3104" spans="2:9" hidden="1" outlineLevel="1">
      <c r="B3104" s="76"/>
      <c r="C3104" s="9" t="str">
        <f>C3103</f>
        <v>Show</v>
      </c>
      <c r="D3104" s="23"/>
      <c r="E3104" s="12"/>
      <c r="G3104" s="78" t="s">
        <v>121</v>
      </c>
      <c r="H3104" s="75" t="s">
        <v>2548</v>
      </c>
    </row>
    <row r="3105" spans="2:9" hidden="1" outlineLevel="1">
      <c r="B3105" s="76"/>
      <c r="C3105" s="9" t="str">
        <f>C3094</f>
        <v>Show</v>
      </c>
      <c r="D3105" s="23" t="s">
        <v>187</v>
      </c>
      <c r="E3105" s="13"/>
      <c r="G3105" s="13"/>
    </row>
    <row r="3106" spans="2:9" hidden="1" outlineLevel="1">
      <c r="B3106" s="76"/>
      <c r="C3106" s="9" t="str">
        <f>C3094</f>
        <v>Show</v>
      </c>
      <c r="D3106" s="23"/>
      <c r="E3106" s="12" t="str">
        <f>IF(COUNTIF(C3107:C3108,"Show")&gt;0,"3.1 Execution Requirements","No EGC Requirements")</f>
        <v>3.1 Execution Requirements</v>
      </c>
      <c r="G3106" s="13"/>
    </row>
    <row r="3107" spans="2:9" hidden="1" outlineLevel="1">
      <c r="B3107" s="76"/>
      <c r="C3107" s="9" t="str">
        <f>$F$5953</f>
        <v>Show</v>
      </c>
      <c r="D3107" s="23"/>
      <c r="E3107" s="12"/>
      <c r="F3107" s="70" t="s">
        <v>119</v>
      </c>
      <c r="G3107" s="11" t="s">
        <v>3438</v>
      </c>
    </row>
    <row r="3108" spans="2:9" hidden="1" outlineLevel="1">
      <c r="B3108" s="76"/>
      <c r="C3108" s="9" t="str">
        <f>C3107</f>
        <v>Show</v>
      </c>
      <c r="D3108" s="23"/>
      <c r="E3108" s="12"/>
      <c r="G3108" s="30" t="s">
        <v>121</v>
      </c>
      <c r="H3108" s="75" t="s">
        <v>2550</v>
      </c>
    </row>
    <row r="3109" spans="2:9" hidden="1" outlineLevel="1">
      <c r="B3109" s="76"/>
      <c r="C3109" s="9" t="str">
        <f>C3094</f>
        <v>Show</v>
      </c>
    </row>
    <row r="3110" spans="2:9" collapsed="1">
      <c r="B3110" s="23"/>
      <c r="C3110" s="2" t="str">
        <f>C3111</f>
        <v>Show</v>
      </c>
      <c r="D3110" s="55" t="s">
        <v>1650</v>
      </c>
      <c r="E3110" s="56"/>
      <c r="F3110" s="57" t="s">
        <v>1645</v>
      </c>
      <c r="G3110" s="53"/>
      <c r="H3110" s="54"/>
      <c r="I3110" s="75"/>
    </row>
    <row r="3111" spans="2:9" hidden="1" outlineLevel="1">
      <c r="B3111" s="76"/>
      <c r="C3111" s="2" t="str">
        <f>IF((COUNTIF(C3115:C3117,"Show")+COUNTIF(C3122:C3123,"Show"))&gt;0,"Show","Hide")</f>
        <v>Show</v>
      </c>
      <c r="D3111" s="23" t="s">
        <v>117</v>
      </c>
      <c r="E3111" s="13"/>
      <c r="G3111" s="13"/>
    </row>
    <row r="3112" spans="2:9" hidden="1" outlineLevel="1">
      <c r="B3112" s="76"/>
      <c r="C3112" s="9" t="str">
        <f>C3111</f>
        <v>Show</v>
      </c>
      <c r="D3112" s="23"/>
      <c r="E3112" s="13">
        <v>1.1000000000000001</v>
      </c>
      <c r="F3112" s="11" t="s">
        <v>118</v>
      </c>
      <c r="G3112" s="13"/>
    </row>
    <row r="3113" spans="2:9" hidden="1" outlineLevel="1">
      <c r="B3113" s="76"/>
      <c r="C3113" s="9" t="str">
        <f>C3112</f>
        <v>Show</v>
      </c>
      <c r="D3113" s="23"/>
      <c r="E3113" s="13"/>
      <c r="F3113" s="70" t="s">
        <v>119</v>
      </c>
      <c r="G3113" s="18" t="s">
        <v>677</v>
      </c>
    </row>
    <row r="3114" spans="2:9" hidden="1" outlineLevel="1">
      <c r="B3114" s="76"/>
      <c r="C3114" s="9" t="str">
        <f>C3113</f>
        <v>Show</v>
      </c>
      <c r="D3114" s="23"/>
      <c r="E3114" s="13"/>
      <c r="F3114" s="70"/>
      <c r="G3114" s="78" t="s">
        <v>121</v>
      </c>
      <c r="H3114" s="79" t="s">
        <v>2301</v>
      </c>
    </row>
    <row r="3115" spans="2:9" hidden="1" outlineLevel="1">
      <c r="B3115" s="76"/>
      <c r="C3115" s="9" t="str">
        <f>IF(COUNTIF(C3116:C3117,"Show")&gt;0,"Show","Hide")</f>
        <v>Show</v>
      </c>
      <c r="D3115" s="23"/>
      <c r="E3115" s="13">
        <v>1.2</v>
      </c>
      <c r="F3115" s="71" t="s">
        <v>131</v>
      </c>
      <c r="G3115" s="78"/>
    </row>
    <row r="3116" spans="2:9" hidden="1" outlineLevel="1">
      <c r="B3116" s="76"/>
      <c r="C3116" s="9" t="str">
        <f>$D$5992</f>
        <v>Show</v>
      </c>
      <c r="D3116" s="23"/>
      <c r="E3116" s="13"/>
      <c r="F3116" s="70" t="s">
        <v>119</v>
      </c>
      <c r="G3116" s="12" t="s">
        <v>3447</v>
      </c>
    </row>
    <row r="3117" spans="2:9" hidden="1" outlineLevel="1">
      <c r="B3117" s="76"/>
      <c r="C3117" s="9" t="str">
        <f>C3116</f>
        <v>Show</v>
      </c>
      <c r="D3117" s="23"/>
      <c r="E3117" s="13"/>
      <c r="F3117" s="70"/>
      <c r="G3117" s="78" t="s">
        <v>121</v>
      </c>
      <c r="H3117" s="75" t="s">
        <v>2788</v>
      </c>
    </row>
    <row r="3118" spans="2:9" hidden="1" outlineLevel="1">
      <c r="B3118" s="76"/>
      <c r="C3118" s="9" t="str">
        <f>C3095</f>
        <v>Show</v>
      </c>
      <c r="D3118" s="23" t="s">
        <v>613</v>
      </c>
      <c r="E3118" s="13"/>
      <c r="F3118" s="70"/>
      <c r="G3118" s="13"/>
    </row>
    <row r="3119" spans="2:9" hidden="1" outlineLevel="1">
      <c r="B3119" s="76"/>
      <c r="C3119" s="9" t="str">
        <f>C3095</f>
        <v>Show</v>
      </c>
      <c r="D3119" s="23"/>
      <c r="E3119" s="12" t="s">
        <v>2703</v>
      </c>
      <c r="G3119" s="13"/>
    </row>
    <row r="3120" spans="2:9" hidden="1" outlineLevel="1">
      <c r="B3120" s="76"/>
      <c r="C3120" s="9" t="str">
        <f>C3081</f>
        <v>Show</v>
      </c>
      <c r="D3120" s="23" t="s">
        <v>187</v>
      </c>
      <c r="E3120" s="13"/>
      <c r="G3120" s="13"/>
    </row>
    <row r="3121" spans="2:9" hidden="1" outlineLevel="1">
      <c r="B3121" s="76"/>
      <c r="C3121" s="9" t="str">
        <f>C3081</f>
        <v>Show</v>
      </c>
      <c r="D3121" s="23"/>
      <c r="E3121" s="12" t="str">
        <f>IF(COUNTIF(C3122:C3123,"Show")&gt;0,"3.1 Execution Requirements","No EGC Requirements")</f>
        <v>3.1 Execution Requirements</v>
      </c>
      <c r="G3121" s="13"/>
    </row>
    <row r="3122" spans="2:9" hidden="1" outlineLevel="1">
      <c r="B3122" s="76"/>
      <c r="C3122" s="9" t="str">
        <f>$F$5992</f>
        <v>Show</v>
      </c>
      <c r="D3122" s="23"/>
      <c r="E3122" s="13"/>
      <c r="F3122" s="70" t="s">
        <v>119</v>
      </c>
      <c r="G3122" s="12" t="s">
        <v>3447</v>
      </c>
    </row>
    <row r="3123" spans="2:9" ht="30" hidden="1" outlineLevel="1">
      <c r="B3123" s="76"/>
      <c r="C3123" s="9" t="str">
        <f>C3122</f>
        <v>Show</v>
      </c>
      <c r="D3123" s="23"/>
      <c r="E3123" s="13"/>
      <c r="F3123" s="70"/>
      <c r="G3123" s="78" t="s">
        <v>121</v>
      </c>
      <c r="H3123" s="75" t="s">
        <v>2792</v>
      </c>
    </row>
    <row r="3124" spans="2:9" hidden="1" outlineLevel="1">
      <c r="B3124" s="76"/>
      <c r="C3124" s="9" t="str">
        <f>C3111</f>
        <v>Show</v>
      </c>
      <c r="D3124" s="23"/>
      <c r="E3124" s="13"/>
      <c r="F3124" s="70"/>
      <c r="G3124" s="78"/>
    </row>
    <row r="3125" spans="2:9" collapsed="1">
      <c r="B3125" s="23"/>
      <c r="C3125" s="2" t="str">
        <f>C3126</f>
        <v>Show</v>
      </c>
      <c r="D3125" s="55" t="s">
        <v>1651</v>
      </c>
      <c r="E3125" s="56"/>
      <c r="F3125" s="57" t="s">
        <v>1646</v>
      </c>
      <c r="G3125" s="53"/>
      <c r="H3125" s="54"/>
      <c r="I3125" s="75"/>
    </row>
    <row r="3126" spans="2:9" hidden="1" outlineLevel="1">
      <c r="B3126" s="76"/>
      <c r="C3126" s="2" t="str">
        <f>IF((COUNTIF(C3130:C3134,"Show")+COUNTIF(C3137:C3138,"Show")+COUNTIF(C3141:C3144,"Show"))&gt;0,"Show","Hide")</f>
        <v>Show</v>
      </c>
      <c r="D3126" s="23" t="s">
        <v>117</v>
      </c>
      <c r="E3126" s="13"/>
      <c r="G3126" s="13"/>
    </row>
    <row r="3127" spans="2:9" hidden="1" outlineLevel="1">
      <c r="B3127" s="76"/>
      <c r="C3127" s="9" t="str">
        <f>C3126</f>
        <v>Show</v>
      </c>
      <c r="D3127" s="23"/>
      <c r="E3127" s="13">
        <v>1.1000000000000001</v>
      </c>
      <c r="F3127" s="11" t="s">
        <v>118</v>
      </c>
      <c r="G3127" s="13"/>
    </row>
    <row r="3128" spans="2:9" hidden="1" outlineLevel="1">
      <c r="B3128" s="76"/>
      <c r="C3128" s="9" t="str">
        <f>C3127</f>
        <v>Show</v>
      </c>
      <c r="D3128" s="23"/>
      <c r="E3128" s="13"/>
      <c r="F3128" s="70" t="s">
        <v>119</v>
      </c>
      <c r="G3128" s="18" t="s">
        <v>677</v>
      </c>
    </row>
    <row r="3129" spans="2:9" hidden="1" outlineLevel="1">
      <c r="B3129" s="76"/>
      <c r="C3129" s="9" t="str">
        <f>C3128</f>
        <v>Show</v>
      </c>
      <c r="D3129" s="23"/>
      <c r="E3129" s="13"/>
      <c r="F3129" s="70"/>
      <c r="G3129" s="78" t="s">
        <v>121</v>
      </c>
      <c r="H3129" s="79" t="s">
        <v>2301</v>
      </c>
    </row>
    <row r="3130" spans="2:9" hidden="1" outlineLevel="1">
      <c r="B3130" s="76"/>
      <c r="C3130" s="9" t="str">
        <f>IF(COUNTIF(C3131:C3134,"Show")&gt;0,"Show","Hide")</f>
        <v>Show</v>
      </c>
      <c r="D3130" s="23"/>
      <c r="E3130" s="13">
        <v>1.2</v>
      </c>
      <c r="F3130" s="71" t="s">
        <v>131</v>
      </c>
      <c r="G3130" s="78"/>
    </row>
    <row r="3131" spans="2:9" hidden="1" outlineLevel="1">
      <c r="B3131" s="76"/>
      <c r="C3131" s="2" t="str">
        <f>$D$5953</f>
        <v>Show</v>
      </c>
      <c r="D3131" s="23"/>
      <c r="E3131" s="13"/>
      <c r="F3131" s="70" t="s">
        <v>119</v>
      </c>
      <c r="G3131" s="11" t="s">
        <v>3438</v>
      </c>
    </row>
    <row r="3132" spans="2:9" hidden="1" outlineLevel="1">
      <c r="B3132" s="76"/>
      <c r="C3132" s="2" t="str">
        <f>C3131</f>
        <v>Show</v>
      </c>
      <c r="D3132" s="23"/>
      <c r="E3132" s="13"/>
      <c r="G3132" s="78" t="s">
        <v>121</v>
      </c>
      <c r="H3132" s="75" t="s">
        <v>2787</v>
      </c>
    </row>
    <row r="3133" spans="2:9" hidden="1" outlineLevel="1">
      <c r="B3133" s="76"/>
      <c r="C3133" s="9" t="str">
        <f>$D$5992</f>
        <v>Show</v>
      </c>
      <c r="D3133" s="23"/>
      <c r="E3133" s="13"/>
      <c r="F3133" s="70" t="str">
        <f>CHAR(65+(COUNTIF(C$3131:C3132,"Show")/2))&amp;"."</f>
        <v>B.</v>
      </c>
      <c r="G3133" s="12" t="s">
        <v>3447</v>
      </c>
    </row>
    <row r="3134" spans="2:9" hidden="1" outlineLevel="1">
      <c r="B3134" s="76"/>
      <c r="C3134" s="9" t="str">
        <f>C3133</f>
        <v>Show</v>
      </c>
      <c r="D3134" s="23"/>
      <c r="E3134" s="13"/>
      <c r="F3134" s="70"/>
      <c r="G3134" s="78" t="s">
        <v>121</v>
      </c>
      <c r="H3134" s="75" t="s">
        <v>2788</v>
      </c>
    </row>
    <row r="3135" spans="2:9" hidden="1" outlineLevel="1">
      <c r="B3135" s="76"/>
      <c r="C3135" s="9" t="str">
        <f>C3112</f>
        <v>Show</v>
      </c>
      <c r="D3135" s="23" t="s">
        <v>613</v>
      </c>
      <c r="E3135" s="13"/>
      <c r="F3135" s="70"/>
      <c r="G3135" s="13"/>
    </row>
    <row r="3136" spans="2:9" hidden="1" outlineLevel="1">
      <c r="B3136" s="76"/>
      <c r="C3136" s="9" t="str">
        <f>C3112</f>
        <v>Show</v>
      </c>
      <c r="D3136" s="23"/>
      <c r="E3136" s="12" t="str">
        <f>IF(COUNTIF(C3137:C3138,"Show")&gt;0,"2.1 Product Requirements","No EGC Requirements")</f>
        <v>2.1 Product Requirements</v>
      </c>
      <c r="G3136" s="13"/>
    </row>
    <row r="3137" spans="2:9" hidden="1" outlineLevel="1">
      <c r="B3137" s="76"/>
      <c r="C3137" s="9" t="str">
        <f>$E$5953</f>
        <v>Show</v>
      </c>
      <c r="D3137" s="23"/>
      <c r="E3137" s="12"/>
      <c r="F3137" s="70" t="s">
        <v>119</v>
      </c>
      <c r="G3137" s="11" t="s">
        <v>3438</v>
      </c>
    </row>
    <row r="3138" spans="2:9" hidden="1" outlineLevel="1">
      <c r="B3138" s="76"/>
      <c r="C3138" s="9" t="str">
        <f>C3137</f>
        <v>Show</v>
      </c>
      <c r="D3138" s="23"/>
      <c r="E3138" s="12"/>
      <c r="G3138" s="78" t="s">
        <v>121</v>
      </c>
      <c r="H3138" s="75" t="s">
        <v>2548</v>
      </c>
    </row>
    <row r="3139" spans="2:9" hidden="1" outlineLevel="1">
      <c r="B3139" s="76"/>
      <c r="C3139" s="9" t="str">
        <f>C3100</f>
        <v>Show</v>
      </c>
      <c r="D3139" s="23" t="s">
        <v>187</v>
      </c>
      <c r="E3139" s="13"/>
      <c r="G3139" s="13"/>
    </row>
    <row r="3140" spans="2:9" hidden="1" outlineLevel="1">
      <c r="B3140" s="76"/>
      <c r="C3140" s="9" t="str">
        <f>C3100</f>
        <v>Show</v>
      </c>
      <c r="D3140" s="23"/>
      <c r="E3140" s="12" t="str">
        <f>IF(COUNTIF(C3141:C3144,"Show")&gt;0,"3.1 Execution Requirements","No EGC Requirements")</f>
        <v>3.1 Execution Requirements</v>
      </c>
      <c r="G3140" s="13"/>
    </row>
    <row r="3141" spans="2:9" hidden="1" outlineLevel="1">
      <c r="B3141" s="76"/>
      <c r="C3141" s="9" t="str">
        <f>$F$5953</f>
        <v>Show</v>
      </c>
      <c r="D3141" s="23"/>
      <c r="E3141" s="12"/>
      <c r="F3141" s="70" t="s">
        <v>119</v>
      </c>
      <c r="G3141" s="11" t="s">
        <v>3438</v>
      </c>
    </row>
    <row r="3142" spans="2:9" hidden="1" outlineLevel="1">
      <c r="B3142" s="76"/>
      <c r="C3142" s="9" t="str">
        <f>C3141</f>
        <v>Show</v>
      </c>
      <c r="D3142" s="23"/>
      <c r="E3142" s="12"/>
      <c r="G3142" s="30" t="s">
        <v>121</v>
      </c>
      <c r="H3142" s="75" t="s">
        <v>2550</v>
      </c>
    </row>
    <row r="3143" spans="2:9" hidden="1" outlineLevel="1">
      <c r="B3143" s="76"/>
      <c r="C3143" s="9" t="str">
        <f>$F$5992</f>
        <v>Show</v>
      </c>
      <c r="D3143" s="23"/>
      <c r="E3143" s="13"/>
      <c r="F3143" s="70" t="str">
        <f>CHAR(65+(COUNTIF(C$3141:C3142,"Show")/2))&amp;"."</f>
        <v>B.</v>
      </c>
      <c r="G3143" s="12" t="s">
        <v>3447</v>
      </c>
    </row>
    <row r="3144" spans="2:9" ht="30" hidden="1" outlineLevel="1">
      <c r="B3144" s="76"/>
      <c r="C3144" s="9" t="str">
        <f>C3143</f>
        <v>Show</v>
      </c>
      <c r="D3144" s="23"/>
      <c r="E3144" s="13"/>
      <c r="F3144" s="70"/>
      <c r="G3144" s="78" t="s">
        <v>121</v>
      </c>
      <c r="H3144" s="75" t="s">
        <v>2792</v>
      </c>
    </row>
    <row r="3145" spans="2:9" hidden="1" outlineLevel="1">
      <c r="B3145" s="76"/>
      <c r="C3145" s="9" t="str">
        <f>C3126</f>
        <v>Show</v>
      </c>
      <c r="D3145" s="23"/>
      <c r="E3145" s="13"/>
      <c r="F3145" s="70"/>
      <c r="G3145" s="78"/>
    </row>
    <row r="3146" spans="2:9" collapsed="1">
      <c r="B3146" s="23"/>
      <c r="C3146" s="2" t="str">
        <f>C3147</f>
        <v>Show</v>
      </c>
      <c r="D3146" s="60" t="s">
        <v>280</v>
      </c>
      <c r="E3146" s="56"/>
      <c r="F3146" s="56" t="s">
        <v>281</v>
      </c>
      <c r="G3146" s="53"/>
      <c r="H3146" s="54"/>
      <c r="I3146" s="75"/>
    </row>
    <row r="3147" spans="2:9" hidden="1" outlineLevel="1">
      <c r="B3147" s="76"/>
      <c r="C3147" s="2" t="str">
        <f>IF((COUNTIF(C3151:C3171,"Show")+COUNTIF(C3174:C3191,"Show")+COUNTIF(C3194:C3211,"Show"))&gt;0,"Show","Hide")</f>
        <v>Show</v>
      </c>
      <c r="D3147" s="23" t="s">
        <v>117</v>
      </c>
      <c r="E3147" s="13"/>
      <c r="G3147" s="13"/>
    </row>
    <row r="3148" spans="2:9" hidden="1" outlineLevel="1">
      <c r="B3148" s="76"/>
      <c r="C3148" s="9" t="str">
        <f>C3147</f>
        <v>Show</v>
      </c>
      <c r="D3148" s="23"/>
      <c r="E3148" s="13">
        <v>1.1000000000000001</v>
      </c>
      <c r="F3148" s="11" t="s">
        <v>118</v>
      </c>
      <c r="G3148" s="13"/>
    </row>
    <row r="3149" spans="2:9" hidden="1" outlineLevel="1">
      <c r="B3149" s="76"/>
      <c r="C3149" s="9" t="str">
        <f>C3148</f>
        <v>Show</v>
      </c>
      <c r="D3149" s="23"/>
      <c r="E3149" s="13"/>
      <c r="F3149" s="70" t="s">
        <v>119</v>
      </c>
      <c r="G3149" s="18" t="s">
        <v>677</v>
      </c>
    </row>
    <row r="3150" spans="2:9" hidden="1" outlineLevel="1">
      <c r="B3150" s="76"/>
      <c r="C3150" s="9" t="str">
        <f>C3149</f>
        <v>Show</v>
      </c>
      <c r="D3150" s="23"/>
      <c r="E3150" s="13"/>
      <c r="F3150" s="70"/>
      <c r="G3150" s="78" t="s">
        <v>121</v>
      </c>
      <c r="H3150" s="79" t="s">
        <v>2301</v>
      </c>
    </row>
    <row r="3151" spans="2:9" hidden="1" outlineLevel="1">
      <c r="B3151" s="76"/>
      <c r="C3151" s="9" t="str">
        <f>IF(COUNTIF(C3152:C3171,"Show")&gt;0,"Show","Hide")</f>
        <v>Show</v>
      </c>
      <c r="D3151" s="23"/>
      <c r="E3151" s="13">
        <v>1.2</v>
      </c>
      <c r="F3151" s="71" t="s">
        <v>131</v>
      </c>
      <c r="G3151" s="78"/>
    </row>
    <row r="3152" spans="2:9" hidden="1" outlineLevel="1">
      <c r="B3152" s="76"/>
      <c r="C3152" s="2" t="str">
        <f>$D$5953</f>
        <v>Show</v>
      </c>
      <c r="D3152" s="23"/>
      <c r="E3152" s="13"/>
      <c r="F3152" s="70" t="s">
        <v>119</v>
      </c>
      <c r="G3152" s="11" t="s">
        <v>3438</v>
      </c>
    </row>
    <row r="3153" spans="2:8" hidden="1" outlineLevel="1">
      <c r="B3153" s="76"/>
      <c r="C3153" s="2" t="str">
        <f>C3152</f>
        <v>Show</v>
      </c>
      <c r="D3153" s="23"/>
      <c r="E3153" s="13"/>
      <c r="G3153" s="78" t="s">
        <v>121</v>
      </c>
      <c r="H3153" s="75" t="s">
        <v>2787</v>
      </c>
    </row>
    <row r="3154" spans="2:8" hidden="1" outlineLevel="1">
      <c r="B3154" s="76"/>
      <c r="C3154" s="2" t="str">
        <f>$D$5955</f>
        <v>Show</v>
      </c>
      <c r="D3154" s="23"/>
      <c r="E3154" s="13"/>
      <c r="F3154" s="70" t="str">
        <f>CHAR(65+(COUNTIF(C$3152:C3153,"Show")/2))&amp;"."</f>
        <v>B.</v>
      </c>
      <c r="G3154" s="11" t="s">
        <v>3435</v>
      </c>
    </row>
    <row r="3155" spans="2:8" hidden="1" outlineLevel="1">
      <c r="B3155" s="76"/>
      <c r="C3155" s="2" t="str">
        <f>C3154</f>
        <v>Show</v>
      </c>
      <c r="D3155" s="23"/>
      <c r="E3155" s="13"/>
      <c r="G3155" s="78" t="s">
        <v>121</v>
      </c>
      <c r="H3155" s="75" t="s">
        <v>2793</v>
      </c>
    </row>
    <row r="3156" spans="2:8" hidden="1" outlineLevel="1">
      <c r="B3156" s="76"/>
      <c r="C3156" s="9" t="str">
        <f>$D$5964</f>
        <v>Show</v>
      </c>
      <c r="D3156" s="23"/>
      <c r="E3156" s="13"/>
      <c r="F3156" s="70" t="str">
        <f>CHAR(65+(COUNTIF(C$3152:C3155,"Show")/2))&amp;"."</f>
        <v>C.</v>
      </c>
      <c r="G3156" s="12" t="s">
        <v>3410</v>
      </c>
    </row>
    <row r="3157" spans="2:8" hidden="1" outlineLevel="1">
      <c r="B3157" s="76"/>
      <c r="C3157" s="9" t="str">
        <f>C3156</f>
        <v>Show</v>
      </c>
      <c r="D3157" s="23"/>
      <c r="E3157" s="13"/>
      <c r="F3157" s="70"/>
      <c r="G3157" s="78" t="s">
        <v>121</v>
      </c>
      <c r="H3157" s="75" t="s">
        <v>2765</v>
      </c>
    </row>
    <row r="3158" spans="2:8" hidden="1" outlineLevel="1">
      <c r="B3158" s="76"/>
      <c r="C3158" s="9" t="str">
        <f>$D$5965</f>
        <v>Show</v>
      </c>
      <c r="D3158" s="23"/>
      <c r="E3158" s="13"/>
      <c r="F3158" s="70" t="str">
        <f>CHAR(65+(COUNTIF(C$3152:C3157,"Show")/2))&amp;"."</f>
        <v>D.</v>
      </c>
      <c r="G3158" s="12" t="s">
        <v>3414</v>
      </c>
    </row>
    <row r="3159" spans="2:8" hidden="1" outlineLevel="1">
      <c r="B3159" s="76"/>
      <c r="C3159" s="9" t="str">
        <f>C3158</f>
        <v>Show</v>
      </c>
      <c r="D3159" s="23"/>
      <c r="E3159" s="13"/>
      <c r="F3159" s="70"/>
      <c r="G3159" s="78" t="s">
        <v>121</v>
      </c>
      <c r="H3159" s="75" t="s">
        <v>2350</v>
      </c>
    </row>
    <row r="3160" spans="2:8" hidden="1" outlineLevel="1">
      <c r="B3160" s="76"/>
      <c r="C3160" s="9" t="str">
        <f>$D$5966</f>
        <v>Show</v>
      </c>
      <c r="D3160" s="23"/>
      <c r="E3160" s="13"/>
      <c r="F3160" s="70" t="str">
        <f>CHAR(65+(COUNTIF(C$3152:C3159,"Show")/2))&amp;"."</f>
        <v>E.</v>
      </c>
      <c r="G3160" s="12" t="s">
        <v>3449</v>
      </c>
    </row>
    <row r="3161" spans="2:8" hidden="1" outlineLevel="1">
      <c r="B3161" s="76"/>
      <c r="C3161" s="9" t="str">
        <f>C3160</f>
        <v>Show</v>
      </c>
      <c r="D3161" s="23"/>
      <c r="E3161" s="13"/>
      <c r="F3161" s="70"/>
      <c r="G3161" s="78" t="s">
        <v>121</v>
      </c>
      <c r="H3161" s="75" t="s">
        <v>2336</v>
      </c>
    </row>
    <row r="3162" spans="2:8" hidden="1" outlineLevel="1">
      <c r="B3162" s="76"/>
      <c r="C3162" s="9" t="str">
        <f>$D$5974</f>
        <v>Show</v>
      </c>
      <c r="D3162" s="23"/>
      <c r="E3162" s="13"/>
      <c r="F3162" s="70" t="str">
        <f>CHAR(65+(COUNTIF(C$3152:C3161,"Show")/2))&amp;"."</f>
        <v>F.</v>
      </c>
      <c r="G3162" s="12" t="s">
        <v>3407</v>
      </c>
    </row>
    <row r="3163" spans="2:8" hidden="1" outlineLevel="1">
      <c r="B3163" s="76"/>
      <c r="C3163" s="9" t="str">
        <f>C3162</f>
        <v>Show</v>
      </c>
      <c r="D3163" s="23"/>
      <c r="E3163" s="13"/>
      <c r="F3163" s="70"/>
      <c r="G3163" s="78" t="s">
        <v>121</v>
      </c>
      <c r="H3163" s="75" t="s">
        <v>2323</v>
      </c>
    </row>
    <row r="3164" spans="2:8" hidden="1" outlineLevel="1">
      <c r="B3164" s="12" t="s">
        <v>2697</v>
      </c>
      <c r="C3164" s="9" t="str">
        <f>$D$5986</f>
        <v>Show</v>
      </c>
      <c r="D3164" s="23"/>
      <c r="E3164" s="13"/>
      <c r="F3164" s="70" t="str">
        <f>CHAR(65+(COUNTIF(C$3152:C3163,"Show")/2))&amp;"."</f>
        <v>G.</v>
      </c>
      <c r="G3164" s="12" t="s">
        <v>3448</v>
      </c>
    </row>
    <row r="3165" spans="2:8" hidden="1" outlineLevel="1">
      <c r="B3165" s="12" t="s">
        <v>2697</v>
      </c>
      <c r="C3165" s="9" t="str">
        <f>C3164</f>
        <v>Show</v>
      </c>
      <c r="D3165" s="23"/>
      <c r="E3165" s="13"/>
      <c r="F3165" s="70"/>
      <c r="G3165" s="78" t="s">
        <v>121</v>
      </c>
      <c r="H3165" s="75" t="s">
        <v>2407</v>
      </c>
    </row>
    <row r="3166" spans="2:8" hidden="1" outlineLevel="1">
      <c r="B3166" s="12" t="s">
        <v>2697</v>
      </c>
      <c r="C3166" s="9" t="str">
        <f>$D$5987</f>
        <v>Show</v>
      </c>
      <c r="D3166" s="23"/>
      <c r="E3166" s="13"/>
      <c r="F3166" s="70" t="str">
        <f>CHAR(65+(COUNTIF(C$3152:C3165,"Show")/2))&amp;"."</f>
        <v>H.</v>
      </c>
      <c r="G3166" s="12" t="s">
        <v>3416</v>
      </c>
    </row>
    <row r="3167" spans="2:8" hidden="1" outlineLevel="1">
      <c r="B3167" s="12" t="s">
        <v>2697</v>
      </c>
      <c r="C3167" s="9" t="str">
        <f>C3166</f>
        <v>Show</v>
      </c>
      <c r="D3167" s="23"/>
      <c r="E3167" s="13"/>
      <c r="F3167" s="70"/>
      <c r="G3167" s="78" t="s">
        <v>121</v>
      </c>
      <c r="H3167" s="75" t="s">
        <v>2356</v>
      </c>
    </row>
    <row r="3168" spans="2:8" hidden="1" outlineLevel="1">
      <c r="B3168" s="76"/>
      <c r="C3168" s="9" t="str">
        <f>$D$5990</f>
        <v>Show</v>
      </c>
      <c r="D3168" s="23"/>
      <c r="E3168" s="13"/>
      <c r="F3168" s="70" t="str">
        <f>CHAR(65+(COUNTIF(C$3152:C3167,"Show")/2))&amp;"."</f>
        <v>I.</v>
      </c>
      <c r="G3168" s="12" t="s">
        <v>3454</v>
      </c>
    </row>
    <row r="3169" spans="2:8" hidden="1" outlineLevel="1">
      <c r="B3169" s="76"/>
      <c r="C3169" s="9" t="str">
        <f>C3168</f>
        <v>Show</v>
      </c>
      <c r="D3169" s="23"/>
      <c r="E3169" s="13"/>
      <c r="F3169" s="70"/>
      <c r="G3169" s="78" t="s">
        <v>121</v>
      </c>
      <c r="H3169" s="75" t="s">
        <v>2797</v>
      </c>
    </row>
    <row r="3170" spans="2:8" hidden="1" outlineLevel="1">
      <c r="B3170" s="76"/>
      <c r="C3170" s="9" t="str">
        <f>$D$5991</f>
        <v>Show</v>
      </c>
      <c r="D3170" s="23"/>
      <c r="E3170" s="13"/>
      <c r="F3170" s="70" t="str">
        <f>CHAR(65+(COUNTIF(C$3152:C3169,"Show")/2))&amp;"."</f>
        <v>J.</v>
      </c>
      <c r="G3170" s="12" t="s">
        <v>3455</v>
      </c>
    </row>
    <row r="3171" spans="2:8" hidden="1" outlineLevel="1">
      <c r="B3171" s="76"/>
      <c r="C3171" s="9" t="str">
        <f>C3170</f>
        <v>Show</v>
      </c>
      <c r="D3171" s="23"/>
      <c r="E3171" s="13"/>
      <c r="F3171" s="70"/>
      <c r="G3171" s="78" t="s">
        <v>121</v>
      </c>
      <c r="H3171" s="75" t="s">
        <v>2798</v>
      </c>
    </row>
    <row r="3172" spans="2:8" hidden="1" outlineLevel="1">
      <c r="B3172" s="76"/>
      <c r="C3172" s="9" t="str">
        <f>C3147</f>
        <v>Show</v>
      </c>
      <c r="D3172" s="23" t="s">
        <v>613</v>
      </c>
      <c r="E3172" s="13"/>
      <c r="F3172" s="70"/>
      <c r="G3172" s="13"/>
    </row>
    <row r="3173" spans="2:8" hidden="1" outlineLevel="1">
      <c r="B3173" s="76"/>
      <c r="C3173" s="9" t="str">
        <f>C3147</f>
        <v>Show</v>
      </c>
      <c r="D3173" s="23"/>
      <c r="E3173" s="12" t="str">
        <f>IF(COUNTIF(C3174:C3191,"Show")&gt;0,"2.1 Product Requirements","No EGC Requirements")</f>
        <v>2.1 Product Requirements</v>
      </c>
      <c r="G3173" s="13"/>
    </row>
    <row r="3174" spans="2:8" hidden="1" outlineLevel="1">
      <c r="B3174" s="76"/>
      <c r="C3174" s="9" t="str">
        <f>$E$5953</f>
        <v>Show</v>
      </c>
      <c r="D3174" s="23"/>
      <c r="E3174" s="12"/>
      <c r="F3174" s="70" t="s">
        <v>119</v>
      </c>
      <c r="G3174" s="11" t="s">
        <v>3438</v>
      </c>
    </row>
    <row r="3175" spans="2:8" hidden="1" outlineLevel="1">
      <c r="B3175" s="76"/>
      <c r="C3175" s="9" t="str">
        <f>C3174</f>
        <v>Show</v>
      </c>
      <c r="D3175" s="23"/>
      <c r="E3175" s="12"/>
      <c r="G3175" s="78" t="s">
        <v>121</v>
      </c>
      <c r="H3175" s="75" t="s">
        <v>2548</v>
      </c>
    </row>
    <row r="3176" spans="2:8" hidden="1" outlineLevel="1">
      <c r="B3176" s="76"/>
      <c r="C3176" s="9" t="str">
        <f>$E$5955</f>
        <v>Show</v>
      </c>
      <c r="D3176" s="23"/>
      <c r="E3176" s="12"/>
      <c r="F3176" s="70" t="str">
        <f>CHAR(65+(COUNTIF(C$3174:C3175,"Show")/2))&amp;"."</f>
        <v>B.</v>
      </c>
      <c r="G3176" s="11" t="s">
        <v>3435</v>
      </c>
    </row>
    <row r="3177" spans="2:8" hidden="1" outlineLevel="1">
      <c r="B3177" s="76"/>
      <c r="C3177" s="9" t="str">
        <f>C3176</f>
        <v>Show</v>
      </c>
      <c r="D3177" s="23"/>
      <c r="E3177" s="12"/>
      <c r="G3177" s="78" t="s">
        <v>121</v>
      </c>
      <c r="H3177" s="75" t="s">
        <v>2539</v>
      </c>
    </row>
    <row r="3178" spans="2:8" hidden="1" outlineLevel="1">
      <c r="B3178" s="76"/>
      <c r="C3178" s="9" t="str">
        <f>$E$5964</f>
        <v>Show</v>
      </c>
      <c r="D3178" s="23"/>
      <c r="E3178" s="12"/>
      <c r="F3178" s="70" t="str">
        <f>CHAR(65+(COUNTIF(C$3174:C3177,"Show")/2))&amp;"."</f>
        <v>C.</v>
      </c>
      <c r="G3178" s="12" t="s">
        <v>3410</v>
      </c>
    </row>
    <row r="3179" spans="2:8" hidden="1" outlineLevel="1">
      <c r="B3179" s="76"/>
      <c r="C3179" s="9" t="str">
        <f>C3178</f>
        <v>Show</v>
      </c>
      <c r="D3179" s="23"/>
      <c r="E3179" s="12"/>
      <c r="F3179" s="70"/>
      <c r="G3179" s="30" t="s">
        <v>121</v>
      </c>
      <c r="H3179" s="75" t="s">
        <v>2337</v>
      </c>
    </row>
    <row r="3180" spans="2:8" hidden="1" outlineLevel="1">
      <c r="B3180" s="76"/>
      <c r="C3180" s="9" t="str">
        <f>$E$5965</f>
        <v>Show</v>
      </c>
      <c r="D3180" s="23"/>
      <c r="E3180" s="12"/>
      <c r="F3180" s="70" t="str">
        <f>CHAR(65+(COUNTIF(C$3174:C3179,"Show")/2))&amp;"."</f>
        <v>D.</v>
      </c>
      <c r="G3180" s="12" t="s">
        <v>3414</v>
      </c>
    </row>
    <row r="3181" spans="2:8" hidden="1" outlineLevel="1">
      <c r="B3181" s="76"/>
      <c r="C3181" s="9" t="str">
        <f>C3180</f>
        <v>Show</v>
      </c>
      <c r="D3181" s="23"/>
      <c r="E3181" s="12"/>
      <c r="F3181" s="70"/>
      <c r="G3181" s="30" t="s">
        <v>121</v>
      </c>
      <c r="H3181" s="75" t="s">
        <v>2351</v>
      </c>
    </row>
    <row r="3182" spans="2:8" hidden="1" outlineLevel="1">
      <c r="B3182" s="76"/>
      <c r="C3182" s="9" t="str">
        <f>$E$5966</f>
        <v>Show</v>
      </c>
      <c r="D3182" s="23"/>
      <c r="E3182" s="12"/>
      <c r="F3182" s="70" t="str">
        <f>CHAR(65+(COUNTIF(C$3174:C3181,"Show")/2))&amp;"."</f>
        <v>E.</v>
      </c>
      <c r="G3182" s="12" t="s">
        <v>3449</v>
      </c>
    </row>
    <row r="3183" spans="2:8" hidden="1" outlineLevel="1">
      <c r="B3183" s="76"/>
      <c r="C3183" s="9" t="str">
        <f>C3182</f>
        <v>Show</v>
      </c>
      <c r="D3183" s="23"/>
      <c r="E3183" s="12"/>
      <c r="F3183" s="70"/>
      <c r="G3183" s="30" t="s">
        <v>121</v>
      </c>
      <c r="H3183" s="75" t="s">
        <v>2338</v>
      </c>
    </row>
    <row r="3184" spans="2:8" hidden="1" outlineLevel="1">
      <c r="B3184" s="76"/>
      <c r="C3184" s="9" t="str">
        <f>$E$5974</f>
        <v>Show</v>
      </c>
      <c r="D3184" s="23"/>
      <c r="E3184" s="12"/>
      <c r="F3184" s="70" t="str">
        <f>CHAR(65+(COUNTIF(C$3174:C3183,"Show")/2))&amp;"."</f>
        <v>F.</v>
      </c>
      <c r="G3184" s="12" t="s">
        <v>3407</v>
      </c>
    </row>
    <row r="3185" spans="2:8" hidden="1" outlineLevel="1">
      <c r="B3185" s="76"/>
      <c r="C3185" s="9" t="str">
        <f>C3184</f>
        <v>Show</v>
      </c>
      <c r="D3185" s="23"/>
      <c r="E3185" s="12"/>
      <c r="F3185" s="70"/>
      <c r="G3185" s="30" t="s">
        <v>121</v>
      </c>
      <c r="H3185" s="75" t="s">
        <v>2698</v>
      </c>
    </row>
    <row r="3186" spans="2:8" hidden="1" outlineLevel="1">
      <c r="B3186" s="76"/>
      <c r="C3186" s="9" t="str">
        <f>$E$5986</f>
        <v>Show</v>
      </c>
      <c r="D3186" s="23"/>
      <c r="E3186" s="12"/>
      <c r="F3186" s="70" t="str">
        <f>CHAR(65+(COUNTIF(C$3174:C3185,"Show")/2))&amp;"."</f>
        <v>G.</v>
      </c>
      <c r="G3186" s="12" t="s">
        <v>3448</v>
      </c>
    </row>
    <row r="3187" spans="2:8" hidden="1" outlineLevel="1">
      <c r="B3187" s="76"/>
      <c r="C3187" s="9" t="str">
        <f>C3186</f>
        <v>Show</v>
      </c>
      <c r="D3187" s="23"/>
      <c r="E3187" s="12"/>
      <c r="F3187" s="70"/>
      <c r="G3187" s="78" t="s">
        <v>121</v>
      </c>
      <c r="H3187" s="75" t="s">
        <v>2409</v>
      </c>
    </row>
    <row r="3188" spans="2:8" hidden="1" outlineLevel="1">
      <c r="B3188" s="76"/>
      <c r="C3188" s="9" t="str">
        <f>$E$5990</f>
        <v>Show</v>
      </c>
      <c r="D3188" s="23"/>
      <c r="E3188" s="12"/>
      <c r="F3188" s="70" t="str">
        <f>CHAR(65+(COUNTIF(C$3174:C3187,"Show")/2))&amp;"."</f>
        <v>H.</v>
      </c>
      <c r="G3188" s="12" t="s">
        <v>3454</v>
      </c>
    </row>
    <row r="3189" spans="2:8" hidden="1" outlineLevel="1">
      <c r="B3189" s="76"/>
      <c r="C3189" s="9" t="str">
        <f>$C$3188</f>
        <v>Show</v>
      </c>
      <c r="D3189" s="23"/>
      <c r="E3189" s="12"/>
      <c r="F3189" s="70"/>
      <c r="G3189" s="78" t="s">
        <v>121</v>
      </c>
      <c r="H3189" s="75" t="s">
        <v>2794</v>
      </c>
    </row>
    <row r="3190" spans="2:8" hidden="1" outlineLevel="1">
      <c r="B3190" s="76"/>
      <c r="C3190" s="9" t="str">
        <f>$E$5991</f>
        <v>Show</v>
      </c>
      <c r="D3190" s="23"/>
      <c r="E3190" s="12"/>
      <c r="F3190" s="70" t="str">
        <f>CHAR(65+(COUNTIF(C$3174:C3189,"Show")/2))&amp;"."</f>
        <v>I.</v>
      </c>
      <c r="G3190" s="12" t="s">
        <v>3455</v>
      </c>
    </row>
    <row r="3191" spans="2:8" hidden="1" outlineLevel="1">
      <c r="B3191" s="76"/>
      <c r="C3191" s="9" t="str">
        <f>C3190</f>
        <v>Show</v>
      </c>
      <c r="D3191" s="23"/>
      <c r="E3191" s="12"/>
      <c r="F3191" s="70"/>
      <c r="G3191" s="78" t="s">
        <v>121</v>
      </c>
      <c r="H3191" s="75" t="s">
        <v>2795</v>
      </c>
    </row>
    <row r="3192" spans="2:8" hidden="1" outlineLevel="1">
      <c r="B3192" s="76"/>
      <c r="C3192" s="9" t="str">
        <f>C3147</f>
        <v>Show</v>
      </c>
      <c r="D3192" s="23" t="s">
        <v>187</v>
      </c>
      <c r="E3192" s="13"/>
      <c r="G3192" s="13"/>
    </row>
    <row r="3193" spans="2:8" hidden="1" outlineLevel="1">
      <c r="B3193" s="76"/>
      <c r="C3193" s="9" t="str">
        <f>C3147</f>
        <v>Show</v>
      </c>
      <c r="D3193" s="23"/>
      <c r="E3193" s="12" t="str">
        <f>IF(COUNTIF(C3194:C3211,"Show")&gt;0,"3.1 Execution Requirements","No EGC Requirements")</f>
        <v>3.1 Execution Requirements</v>
      </c>
      <c r="G3193" s="13"/>
    </row>
    <row r="3194" spans="2:8" hidden="1" outlineLevel="1">
      <c r="B3194" s="76"/>
      <c r="C3194" s="9" t="str">
        <f>$F$5953</f>
        <v>Show</v>
      </c>
      <c r="D3194" s="23"/>
      <c r="E3194" s="12"/>
      <c r="F3194" s="70" t="s">
        <v>119</v>
      </c>
      <c r="G3194" s="11" t="s">
        <v>3438</v>
      </c>
    </row>
    <row r="3195" spans="2:8" hidden="1" outlineLevel="1">
      <c r="B3195" s="76"/>
      <c r="C3195" s="9" t="str">
        <f>C3194</f>
        <v>Show</v>
      </c>
      <c r="D3195" s="23"/>
      <c r="E3195" s="12"/>
      <c r="G3195" s="30" t="s">
        <v>121</v>
      </c>
      <c r="H3195" s="75" t="s">
        <v>2550</v>
      </c>
    </row>
    <row r="3196" spans="2:8" hidden="1" outlineLevel="1">
      <c r="B3196" s="76"/>
      <c r="C3196" s="9" t="str">
        <f>$F$5955</f>
        <v>Show</v>
      </c>
      <c r="D3196" s="23"/>
      <c r="E3196" s="12"/>
      <c r="F3196" s="70" t="str">
        <f>CHAR(65+(COUNTIF(C3193:C$3194,"Show")/2))&amp;"."</f>
        <v>B.</v>
      </c>
      <c r="G3196" s="11" t="s">
        <v>3435</v>
      </c>
    </row>
    <row r="3197" spans="2:8" ht="30" hidden="1" outlineLevel="1">
      <c r="B3197" s="76"/>
      <c r="C3197" s="9" t="str">
        <f>C3196</f>
        <v>Show</v>
      </c>
      <c r="D3197" s="23"/>
      <c r="E3197" s="12"/>
      <c r="G3197" s="30" t="s">
        <v>121</v>
      </c>
      <c r="H3197" s="75" t="s">
        <v>2540</v>
      </c>
    </row>
    <row r="3198" spans="2:8" hidden="1" outlineLevel="1">
      <c r="B3198" s="76"/>
      <c r="C3198" s="9" t="str">
        <f>$F$5964</f>
        <v>Show</v>
      </c>
      <c r="D3198" s="23"/>
      <c r="E3198" s="13"/>
      <c r="F3198" s="70" t="str">
        <f>CHAR(65+(COUNTIF(C$3194:C3195,"Show")/2))&amp;"."</f>
        <v>B.</v>
      </c>
      <c r="G3198" s="12" t="s">
        <v>3410</v>
      </c>
    </row>
    <row r="3199" spans="2:8" ht="30" hidden="1" outlineLevel="1">
      <c r="B3199" s="76"/>
      <c r="C3199" s="9" t="str">
        <f>C3198</f>
        <v>Show</v>
      </c>
      <c r="D3199" s="23"/>
      <c r="E3199" s="13"/>
      <c r="F3199" s="70"/>
      <c r="G3199" s="30" t="s">
        <v>121</v>
      </c>
      <c r="H3199" s="75" t="s">
        <v>2339</v>
      </c>
    </row>
    <row r="3200" spans="2:8" hidden="1" outlineLevel="1">
      <c r="B3200" s="76"/>
      <c r="C3200" s="9" t="str">
        <f>$F$5965</f>
        <v>Show</v>
      </c>
      <c r="D3200" s="23"/>
      <c r="E3200" s="13"/>
      <c r="F3200" s="70" t="str">
        <f>CHAR(65+(COUNTIF(C$3194:C3199,"Show")/2))&amp;"."</f>
        <v>D.</v>
      </c>
      <c r="G3200" s="12" t="s">
        <v>3414</v>
      </c>
    </row>
    <row r="3201" spans="2:9" ht="30" hidden="1" outlineLevel="1">
      <c r="B3201" s="76"/>
      <c r="C3201" s="9" t="str">
        <f>C3200</f>
        <v>Show</v>
      </c>
      <c r="D3201" s="23"/>
      <c r="E3201" s="13"/>
      <c r="F3201" s="70"/>
      <c r="G3201" s="30" t="s">
        <v>121</v>
      </c>
      <c r="H3201" s="75" t="s">
        <v>2352</v>
      </c>
    </row>
    <row r="3202" spans="2:9" hidden="1" outlineLevel="1">
      <c r="B3202" s="76"/>
      <c r="C3202" s="9" t="str">
        <f>$F$5966</f>
        <v>Show</v>
      </c>
      <c r="D3202" s="23"/>
      <c r="E3202" s="13"/>
      <c r="F3202" s="70" t="str">
        <f>CHAR(65+(COUNTIF(C$3194:C3201,"Show")/2))&amp;"."</f>
        <v>E.</v>
      </c>
      <c r="G3202" s="12" t="s">
        <v>3449</v>
      </c>
    </row>
    <row r="3203" spans="2:9" hidden="1" outlineLevel="1">
      <c r="B3203" s="76"/>
      <c r="C3203" s="9" t="str">
        <f>C3202</f>
        <v>Show</v>
      </c>
      <c r="D3203" s="23"/>
      <c r="E3203" s="13"/>
      <c r="F3203" s="70"/>
      <c r="G3203" s="30" t="s">
        <v>121</v>
      </c>
      <c r="H3203" s="75" t="s">
        <v>2340</v>
      </c>
    </row>
    <row r="3204" spans="2:9" hidden="1" outlineLevel="1">
      <c r="B3204" s="76"/>
      <c r="C3204" s="9" t="str">
        <f>$F$5974</f>
        <v>Show</v>
      </c>
      <c r="D3204" s="23"/>
      <c r="E3204" s="13"/>
      <c r="F3204" s="70" t="str">
        <f>CHAR(65+(COUNTIF(C$3194:C3203,"Show")/2))&amp;"."</f>
        <v>F.</v>
      </c>
      <c r="G3204" s="12" t="s">
        <v>3456</v>
      </c>
    </row>
    <row r="3205" spans="2:9" hidden="1" outlineLevel="1">
      <c r="B3205" s="76"/>
      <c r="C3205" s="9" t="str">
        <f>C3204</f>
        <v>Show</v>
      </c>
      <c r="D3205" s="23"/>
      <c r="E3205" s="13"/>
      <c r="F3205" s="70"/>
      <c r="G3205" s="78" t="s">
        <v>121</v>
      </c>
      <c r="H3205" s="75" t="s">
        <v>2324</v>
      </c>
    </row>
    <row r="3206" spans="2:9" hidden="1" outlineLevel="1">
      <c r="B3206" s="76"/>
      <c r="C3206" s="9" t="str">
        <f>$F$5986</f>
        <v>Show</v>
      </c>
      <c r="D3206" s="23"/>
      <c r="E3206" s="13"/>
      <c r="F3206" s="70" t="str">
        <f>CHAR(65+(COUNTIF(C$3194:C3205,"Show")/2))&amp;"."</f>
        <v>G.</v>
      </c>
      <c r="G3206" s="12" t="s">
        <v>3448</v>
      </c>
    </row>
    <row r="3207" spans="2:9" ht="30" hidden="1" outlineLevel="1">
      <c r="B3207" s="76"/>
      <c r="C3207" s="9" t="str">
        <f>C3206</f>
        <v>Show</v>
      </c>
      <c r="D3207" s="23"/>
      <c r="E3207" s="13"/>
      <c r="F3207" s="70"/>
      <c r="G3207" s="78" t="s">
        <v>121</v>
      </c>
      <c r="H3207" s="75" t="s">
        <v>2762</v>
      </c>
    </row>
    <row r="3208" spans="2:9" hidden="1" outlineLevel="1">
      <c r="B3208" s="76"/>
      <c r="C3208" s="9" t="str">
        <f>$F$5987</f>
        <v>Show</v>
      </c>
      <c r="D3208" s="23"/>
      <c r="E3208" s="13"/>
      <c r="F3208" s="70" t="str">
        <f>CHAR(65+(COUNTIF(C$3194:C3207,"Show")/2))&amp;"."</f>
        <v>H.</v>
      </c>
      <c r="G3208" s="12" t="s">
        <v>3416</v>
      </c>
    </row>
    <row r="3209" spans="2:9" ht="30" hidden="1" outlineLevel="1">
      <c r="B3209" s="76"/>
      <c r="C3209" s="9" t="str">
        <f>C3208</f>
        <v>Show</v>
      </c>
      <c r="D3209" s="23"/>
      <c r="E3209" s="13"/>
      <c r="F3209" s="70"/>
      <c r="G3209" s="78" t="s">
        <v>121</v>
      </c>
      <c r="H3209" s="75" t="s">
        <v>2357</v>
      </c>
    </row>
    <row r="3210" spans="2:9" hidden="1" outlineLevel="1">
      <c r="B3210" s="76"/>
      <c r="C3210" s="9" t="str">
        <f>$F$5991</f>
        <v>Show</v>
      </c>
      <c r="D3210" s="23"/>
      <c r="E3210" s="13"/>
      <c r="F3210" s="70" t="str">
        <f>CHAR(65+(COUNTIF(C$3194:C3209,"Show")/2))&amp;"."</f>
        <v>I.</v>
      </c>
      <c r="G3210" s="12" t="s">
        <v>3455</v>
      </c>
    </row>
    <row r="3211" spans="2:9" ht="30" hidden="1" outlineLevel="1">
      <c r="B3211" s="76"/>
      <c r="C3211" s="9" t="str">
        <f>C3210</f>
        <v>Show</v>
      </c>
      <c r="D3211" s="23"/>
      <c r="E3211" s="13"/>
      <c r="F3211" s="70"/>
      <c r="G3211" s="78" t="s">
        <v>121</v>
      </c>
      <c r="H3211" s="75" t="s">
        <v>2796</v>
      </c>
    </row>
    <row r="3212" spans="2:9" hidden="1" outlineLevel="1">
      <c r="B3212" s="76"/>
      <c r="C3212" s="9" t="str">
        <f>C3147</f>
        <v>Show</v>
      </c>
    </row>
    <row r="3213" spans="2:9" collapsed="1">
      <c r="B3213" s="23"/>
      <c r="C3213" s="2" t="str">
        <f>C3214</f>
        <v>Show</v>
      </c>
      <c r="D3213" s="55" t="s">
        <v>1664</v>
      </c>
      <c r="E3213" s="56"/>
      <c r="F3213" s="57" t="s">
        <v>1652</v>
      </c>
      <c r="G3213" s="53"/>
      <c r="H3213" s="54"/>
      <c r="I3213" s="75"/>
    </row>
    <row r="3214" spans="2:9" hidden="1" outlineLevel="1">
      <c r="B3214" s="76"/>
      <c r="C3214" s="2" t="str">
        <f>IF((COUNTIF(C3218:C3224,"Show")+COUNTIF(C3227:C3230,"Show")+COUNTIF(C3233:C3238,"Show"))&gt;0,"Show","Hide")</f>
        <v>Show</v>
      </c>
      <c r="D3214" s="23" t="s">
        <v>117</v>
      </c>
      <c r="E3214" s="13"/>
      <c r="G3214" s="13"/>
    </row>
    <row r="3215" spans="2:9" hidden="1" outlineLevel="1">
      <c r="B3215" s="76"/>
      <c r="C3215" s="9" t="str">
        <f>C3214</f>
        <v>Show</v>
      </c>
      <c r="D3215" s="23"/>
      <c r="E3215" s="13">
        <v>1.1000000000000001</v>
      </c>
      <c r="F3215" s="11" t="s">
        <v>118</v>
      </c>
      <c r="G3215" s="13"/>
    </row>
    <row r="3216" spans="2:9" hidden="1" outlineLevel="1">
      <c r="B3216" s="76"/>
      <c r="C3216" s="9" t="str">
        <f>C3215</f>
        <v>Show</v>
      </c>
      <c r="D3216" s="23"/>
      <c r="E3216" s="13"/>
      <c r="F3216" s="70" t="s">
        <v>119</v>
      </c>
      <c r="G3216" s="18" t="s">
        <v>677</v>
      </c>
    </row>
    <row r="3217" spans="2:8" hidden="1" outlineLevel="1">
      <c r="B3217" s="76"/>
      <c r="C3217" s="9" t="str">
        <f>C3216</f>
        <v>Show</v>
      </c>
      <c r="D3217" s="23"/>
      <c r="E3217" s="13"/>
      <c r="F3217" s="70"/>
      <c r="G3217" s="78" t="s">
        <v>121</v>
      </c>
      <c r="H3217" s="79" t="s">
        <v>2301</v>
      </c>
    </row>
    <row r="3218" spans="2:8" hidden="1" outlineLevel="1">
      <c r="B3218" s="76"/>
      <c r="C3218" s="9" t="str">
        <f>IF(COUNTIF(C3219:C3224,"Show")&gt;0,"Show","Hide")</f>
        <v>Show</v>
      </c>
      <c r="D3218" s="23"/>
      <c r="E3218" s="13">
        <v>1.2</v>
      </c>
      <c r="F3218" s="71" t="s">
        <v>131</v>
      </c>
      <c r="G3218" s="78"/>
    </row>
    <row r="3219" spans="2:8" hidden="1" outlineLevel="1">
      <c r="B3219" s="76"/>
      <c r="C3219" s="2" t="str">
        <f>$D$5953</f>
        <v>Show</v>
      </c>
      <c r="D3219" s="23"/>
      <c r="E3219" s="13"/>
      <c r="F3219" s="70" t="s">
        <v>119</v>
      </c>
      <c r="G3219" s="11" t="s">
        <v>3438</v>
      </c>
    </row>
    <row r="3220" spans="2:8" hidden="1" outlineLevel="1">
      <c r="B3220" s="76"/>
      <c r="C3220" s="2" t="str">
        <f>C3219</f>
        <v>Show</v>
      </c>
      <c r="D3220" s="23"/>
      <c r="E3220" s="13"/>
      <c r="G3220" s="78" t="s">
        <v>121</v>
      </c>
      <c r="H3220" s="75" t="s">
        <v>2787</v>
      </c>
    </row>
    <row r="3221" spans="2:8" hidden="1" outlineLevel="1">
      <c r="B3221" s="12" t="s">
        <v>2697</v>
      </c>
      <c r="C3221" s="9" t="str">
        <f>$D$5986</f>
        <v>Show</v>
      </c>
      <c r="D3221" s="23"/>
      <c r="E3221" s="13"/>
      <c r="F3221" s="70" t="str">
        <f>CHAR(65+(COUNTIF(C$3219:C3220,"Show")/2))&amp;"."</f>
        <v>B.</v>
      </c>
      <c r="G3221" s="12" t="s">
        <v>3448</v>
      </c>
    </row>
    <row r="3222" spans="2:8" hidden="1" outlineLevel="1">
      <c r="B3222" s="12" t="s">
        <v>2697</v>
      </c>
      <c r="C3222" s="9" t="str">
        <f>C3221</f>
        <v>Show</v>
      </c>
      <c r="D3222" s="23"/>
      <c r="E3222" s="13"/>
      <c r="F3222" s="70"/>
      <c r="G3222" s="78" t="s">
        <v>121</v>
      </c>
      <c r="H3222" s="75" t="s">
        <v>2407</v>
      </c>
    </row>
    <row r="3223" spans="2:8" hidden="1" outlineLevel="1">
      <c r="B3223" s="12" t="s">
        <v>2697</v>
      </c>
      <c r="C3223" s="9" t="str">
        <f>$D$5987</f>
        <v>Show</v>
      </c>
      <c r="D3223" s="23"/>
      <c r="E3223" s="13"/>
      <c r="F3223" s="70" t="str">
        <f>CHAR(65+(COUNTIF(C$3219:C3222,"Show")/2))&amp;"."</f>
        <v>C.</v>
      </c>
      <c r="G3223" s="12" t="s">
        <v>3416</v>
      </c>
    </row>
    <row r="3224" spans="2:8" hidden="1" outlineLevel="1">
      <c r="B3224" s="12" t="s">
        <v>2697</v>
      </c>
      <c r="C3224" s="9" t="str">
        <f>C3223</f>
        <v>Show</v>
      </c>
      <c r="D3224" s="23"/>
      <c r="E3224" s="13"/>
      <c r="F3224" s="70"/>
      <c r="G3224" s="78" t="s">
        <v>121</v>
      </c>
      <c r="H3224" s="75" t="s">
        <v>2356</v>
      </c>
    </row>
    <row r="3225" spans="2:8" hidden="1" outlineLevel="1">
      <c r="B3225" s="76"/>
      <c r="C3225" s="9" t="str">
        <f>C3214</f>
        <v>Show</v>
      </c>
      <c r="D3225" s="23" t="s">
        <v>613</v>
      </c>
      <c r="E3225" s="13"/>
      <c r="F3225" s="70"/>
      <c r="G3225" s="13"/>
    </row>
    <row r="3226" spans="2:8" hidden="1" outlineLevel="1">
      <c r="B3226" s="76"/>
      <c r="C3226" s="9" t="str">
        <f>C3214</f>
        <v>Show</v>
      </c>
      <c r="D3226" s="23"/>
      <c r="E3226" s="12" t="str">
        <f>IF(COUNTIF(C3227:C3230,"Show")&gt;0,"2.1 Product Requirements","No EGC Requirements")</f>
        <v>2.1 Product Requirements</v>
      </c>
      <c r="G3226" s="13"/>
    </row>
    <row r="3227" spans="2:8" hidden="1" outlineLevel="1">
      <c r="B3227" s="76"/>
      <c r="C3227" s="9" t="str">
        <f>$E$5953</f>
        <v>Show</v>
      </c>
      <c r="D3227" s="23"/>
      <c r="E3227" s="12"/>
      <c r="F3227" s="70" t="s">
        <v>119</v>
      </c>
      <c r="G3227" s="11" t="s">
        <v>3438</v>
      </c>
    </row>
    <row r="3228" spans="2:8" hidden="1" outlineLevel="1">
      <c r="B3228" s="76"/>
      <c r="C3228" s="9" t="str">
        <f>C3227</f>
        <v>Show</v>
      </c>
      <c r="D3228" s="23"/>
      <c r="E3228" s="12"/>
      <c r="G3228" s="78" t="s">
        <v>121</v>
      </c>
      <c r="H3228" s="75" t="s">
        <v>2548</v>
      </c>
    </row>
    <row r="3229" spans="2:8" hidden="1" outlineLevel="1">
      <c r="B3229" s="76"/>
      <c r="C3229" s="9" t="str">
        <f>$E$5986</f>
        <v>Show</v>
      </c>
      <c r="D3229" s="23"/>
      <c r="E3229" s="12"/>
      <c r="F3229" s="70" t="str">
        <f>CHAR(65+(COUNTIF(C$3227:C3228,"Show")/2))&amp;"."</f>
        <v>B.</v>
      </c>
      <c r="G3229" s="12" t="s">
        <v>3448</v>
      </c>
    </row>
    <row r="3230" spans="2:8" hidden="1" outlineLevel="1">
      <c r="B3230" s="76"/>
      <c r="C3230" s="9" t="str">
        <f>C3229</f>
        <v>Show</v>
      </c>
      <c r="D3230" s="23"/>
      <c r="E3230" s="12"/>
      <c r="F3230" s="70"/>
      <c r="G3230" s="78" t="s">
        <v>121</v>
      </c>
      <c r="H3230" s="75" t="s">
        <v>2409</v>
      </c>
    </row>
    <row r="3231" spans="2:8" hidden="1" outlineLevel="1">
      <c r="B3231" s="76"/>
      <c r="C3231" s="9" t="str">
        <f>C3214</f>
        <v>Show</v>
      </c>
      <c r="D3231" s="23" t="s">
        <v>187</v>
      </c>
      <c r="E3231" s="13"/>
      <c r="G3231" s="13"/>
    </row>
    <row r="3232" spans="2:8" hidden="1" outlineLevel="1">
      <c r="B3232" s="76"/>
      <c r="C3232" s="9" t="str">
        <f>C3214</f>
        <v>Show</v>
      </c>
      <c r="D3232" s="23"/>
      <c r="E3232" s="12" t="str">
        <f>IF(COUNTIF(C3233:C3238,"Show")&gt;0,"3.1 Execution Requirements","No EGC Requirements")</f>
        <v>3.1 Execution Requirements</v>
      </c>
      <c r="G3232" s="13"/>
    </row>
    <row r="3233" spans="2:9" hidden="1" outlineLevel="1">
      <c r="B3233" s="76"/>
      <c r="C3233" s="9" t="str">
        <f>$F$5953</f>
        <v>Show</v>
      </c>
      <c r="D3233" s="23"/>
      <c r="E3233" s="12"/>
      <c r="F3233" s="70" t="s">
        <v>119</v>
      </c>
      <c r="G3233" s="11" t="s">
        <v>3438</v>
      </c>
    </row>
    <row r="3234" spans="2:9" hidden="1" outlineLevel="1">
      <c r="B3234" s="76"/>
      <c r="C3234" s="9" t="str">
        <f>C3233</f>
        <v>Show</v>
      </c>
      <c r="D3234" s="23"/>
      <c r="E3234" s="12"/>
      <c r="G3234" s="30" t="s">
        <v>121</v>
      </c>
      <c r="H3234" s="75" t="s">
        <v>2550</v>
      </c>
    </row>
    <row r="3235" spans="2:9" hidden="1" outlineLevel="1">
      <c r="B3235" s="76"/>
      <c r="C3235" s="9" t="str">
        <f>$F$5986</f>
        <v>Show</v>
      </c>
      <c r="D3235" s="23"/>
      <c r="E3235" s="13"/>
      <c r="F3235" s="70" t="str">
        <f>CHAR(65+(COUNTIF(C$3233:C3234,"Show")/2))&amp;"."</f>
        <v>B.</v>
      </c>
      <c r="G3235" s="12" t="s">
        <v>3448</v>
      </c>
    </row>
    <row r="3236" spans="2:9" ht="30" hidden="1" outlineLevel="1">
      <c r="B3236" s="76"/>
      <c r="C3236" s="9" t="str">
        <f>C3235</f>
        <v>Show</v>
      </c>
      <c r="D3236" s="23"/>
      <c r="E3236" s="13"/>
      <c r="F3236" s="70"/>
      <c r="G3236" s="78" t="s">
        <v>121</v>
      </c>
      <c r="H3236" s="75" t="s">
        <v>2762</v>
      </c>
    </row>
    <row r="3237" spans="2:9" hidden="1" outlineLevel="1">
      <c r="B3237" s="76"/>
      <c r="C3237" s="9" t="str">
        <f>$F$5987</f>
        <v>Show</v>
      </c>
      <c r="D3237" s="23"/>
      <c r="E3237" s="13"/>
      <c r="F3237" s="70" t="str">
        <f>CHAR(65+(COUNTIF(C$3233:C3236,"Show")/2))&amp;"."</f>
        <v>C.</v>
      </c>
      <c r="G3237" s="12" t="s">
        <v>3416</v>
      </c>
    </row>
    <row r="3238" spans="2:9" ht="30" hidden="1" outlineLevel="1">
      <c r="B3238" s="76"/>
      <c r="C3238" s="9" t="str">
        <f>C3237</f>
        <v>Show</v>
      </c>
      <c r="D3238" s="23"/>
      <c r="E3238" s="13"/>
      <c r="F3238" s="70"/>
      <c r="G3238" s="78" t="s">
        <v>121</v>
      </c>
      <c r="H3238" s="75" t="s">
        <v>2357</v>
      </c>
    </row>
    <row r="3239" spans="2:9" hidden="1" outlineLevel="1">
      <c r="B3239" s="76"/>
      <c r="C3239" s="9" t="str">
        <f>C3214</f>
        <v>Show</v>
      </c>
    </row>
    <row r="3240" spans="2:9" collapsed="1">
      <c r="B3240" s="23"/>
      <c r="C3240" s="2" t="str">
        <f>C3241</f>
        <v>Show</v>
      </c>
      <c r="D3240" s="55" t="s">
        <v>282</v>
      </c>
      <c r="E3240" s="56"/>
      <c r="F3240" s="57" t="s">
        <v>283</v>
      </c>
      <c r="G3240" s="53"/>
      <c r="H3240" s="54"/>
      <c r="I3240" s="75"/>
    </row>
    <row r="3241" spans="2:9" hidden="1" outlineLevel="1">
      <c r="B3241" s="76"/>
      <c r="C3241" s="2" t="str">
        <f>IF((COUNTIF(C3245:C3253,"Show")+COUNTIF(C3256:C3263,"Show")+COUNTIF(C3266:C3271,"Show"))&gt;0,"Show","Hide")</f>
        <v>Show</v>
      </c>
      <c r="D3241" s="23" t="s">
        <v>117</v>
      </c>
      <c r="E3241" s="13"/>
      <c r="G3241" s="13"/>
    </row>
    <row r="3242" spans="2:9" hidden="1" outlineLevel="1">
      <c r="B3242" s="76"/>
      <c r="C3242" s="9" t="str">
        <f>C3241</f>
        <v>Show</v>
      </c>
      <c r="D3242" s="23"/>
      <c r="E3242" s="13">
        <v>1.1000000000000001</v>
      </c>
      <c r="F3242" s="11" t="s">
        <v>118</v>
      </c>
      <c r="G3242" s="13"/>
    </row>
    <row r="3243" spans="2:9" hidden="1" outlineLevel="1">
      <c r="B3243" s="76"/>
      <c r="C3243" s="9" t="str">
        <f>C3242</f>
        <v>Show</v>
      </c>
      <c r="D3243" s="23"/>
      <c r="E3243" s="13"/>
      <c r="F3243" s="70" t="s">
        <v>119</v>
      </c>
      <c r="G3243" s="18" t="s">
        <v>677</v>
      </c>
    </row>
    <row r="3244" spans="2:9" hidden="1" outlineLevel="1">
      <c r="B3244" s="76"/>
      <c r="C3244" s="9" t="str">
        <f>C3243</f>
        <v>Show</v>
      </c>
      <c r="D3244" s="23"/>
      <c r="E3244" s="13"/>
      <c r="F3244" s="70"/>
      <c r="G3244" s="78" t="s">
        <v>121</v>
      </c>
      <c r="H3244" s="79" t="s">
        <v>2301</v>
      </c>
    </row>
    <row r="3245" spans="2:9" hidden="1" outlineLevel="1">
      <c r="B3245" s="76"/>
      <c r="C3245" s="9" t="str">
        <f>IF(COUNTIF(C3246:C3253,"Show")&gt;0,"Show","Hide")</f>
        <v>Show</v>
      </c>
      <c r="D3245" s="23"/>
      <c r="E3245" s="13">
        <v>1.2</v>
      </c>
      <c r="F3245" s="71" t="s">
        <v>131</v>
      </c>
      <c r="G3245" s="78"/>
    </row>
    <row r="3246" spans="2:9" hidden="1" outlineLevel="1">
      <c r="B3246" s="76"/>
      <c r="C3246" s="2" t="str">
        <f>$D$5953</f>
        <v>Show</v>
      </c>
      <c r="D3246" s="23"/>
      <c r="E3246" s="13"/>
      <c r="F3246" s="70" t="s">
        <v>119</v>
      </c>
      <c r="G3246" s="11" t="s">
        <v>3438</v>
      </c>
    </row>
    <row r="3247" spans="2:9" hidden="1" outlineLevel="1">
      <c r="B3247" s="76"/>
      <c r="C3247" s="2" t="str">
        <f>C3246</f>
        <v>Show</v>
      </c>
      <c r="D3247" s="23"/>
      <c r="E3247" s="13"/>
      <c r="G3247" s="78" t="s">
        <v>121</v>
      </c>
      <c r="H3247" s="75" t="s">
        <v>2787</v>
      </c>
    </row>
    <row r="3248" spans="2:9" hidden="1" outlineLevel="1">
      <c r="B3248" s="76"/>
      <c r="C3248" s="9" t="str">
        <f>$D$5980</f>
        <v>Show</v>
      </c>
      <c r="D3248" s="23"/>
      <c r="E3248" s="13"/>
      <c r="F3248" s="70" t="str">
        <f>CHAR(65+(COUNTIF(C$3246:C3247,"Show")/2))&amp;"."</f>
        <v>B.</v>
      </c>
      <c r="G3248" s="12" t="s">
        <v>3451</v>
      </c>
    </row>
    <row r="3249" spans="2:8" hidden="1" outlineLevel="1">
      <c r="B3249" s="76"/>
      <c r="C3249" s="9" t="str">
        <f>C3248</f>
        <v>Show</v>
      </c>
      <c r="D3249" s="23"/>
      <c r="E3249" s="13"/>
      <c r="F3249" s="70"/>
      <c r="G3249" s="78" t="s">
        <v>121</v>
      </c>
      <c r="H3249" s="75" t="s">
        <v>2769</v>
      </c>
    </row>
    <row r="3250" spans="2:8" hidden="1" outlineLevel="1">
      <c r="B3250" s="76"/>
      <c r="C3250" s="9" t="str">
        <f>$D$5992</f>
        <v>Show</v>
      </c>
      <c r="D3250" s="23"/>
      <c r="E3250" s="13"/>
      <c r="F3250" s="70" t="str">
        <f>CHAR(65+(COUNTIF(C$3246:C3249,"Show")/2))&amp;"."</f>
        <v>C.</v>
      </c>
      <c r="G3250" s="12" t="s">
        <v>3447</v>
      </c>
    </row>
    <row r="3251" spans="2:8" hidden="1" outlineLevel="1">
      <c r="B3251" s="76"/>
      <c r="C3251" s="9" t="str">
        <f>C3250</f>
        <v>Show</v>
      </c>
      <c r="D3251" s="23"/>
      <c r="E3251" s="13"/>
      <c r="F3251" s="70"/>
      <c r="G3251" s="78" t="s">
        <v>121</v>
      </c>
      <c r="H3251" s="75" t="s">
        <v>2788</v>
      </c>
    </row>
    <row r="3252" spans="2:8" hidden="1" outlineLevel="1">
      <c r="B3252" s="76"/>
      <c r="C3252" s="9" t="str">
        <f>$D$5993</f>
        <v>Show</v>
      </c>
      <c r="D3252" s="23"/>
      <c r="E3252" s="13"/>
      <c r="F3252" s="70" t="str">
        <f>CHAR(65+(COUNTIF(C$3246:C3251,"Show")/2))&amp;"."</f>
        <v>D.</v>
      </c>
      <c r="G3252" s="12" t="s">
        <v>3453</v>
      </c>
    </row>
    <row r="3253" spans="2:8" hidden="1" outlineLevel="1">
      <c r="B3253" s="76"/>
      <c r="C3253" s="9" t="str">
        <f>C3252</f>
        <v>Show</v>
      </c>
      <c r="D3253" s="23"/>
      <c r="E3253" s="13"/>
      <c r="F3253" s="70"/>
      <c r="G3253" s="78" t="s">
        <v>121</v>
      </c>
      <c r="H3253" s="75" t="s">
        <v>2799</v>
      </c>
    </row>
    <row r="3254" spans="2:8" hidden="1" outlineLevel="1">
      <c r="B3254" s="76"/>
      <c r="C3254" s="9" t="str">
        <f>C3241</f>
        <v>Show</v>
      </c>
      <c r="D3254" s="23" t="s">
        <v>613</v>
      </c>
      <c r="E3254" s="13"/>
      <c r="F3254" s="70"/>
      <c r="G3254" s="13"/>
    </row>
    <row r="3255" spans="2:8" hidden="1" outlineLevel="1">
      <c r="B3255" s="76"/>
      <c r="C3255" s="9" t="str">
        <f>C3241</f>
        <v>Show</v>
      </c>
      <c r="D3255" s="23"/>
      <c r="E3255" s="12" t="str">
        <f>IF(COUNTIF(C3256:C3263,"Show")&gt;0,"2.1 Product Requirements","No EGC Requirements")</f>
        <v>2.1 Product Requirements</v>
      </c>
      <c r="G3255" s="13"/>
    </row>
    <row r="3256" spans="2:8" hidden="1" outlineLevel="1">
      <c r="B3256" s="76"/>
      <c r="C3256" s="9" t="str">
        <f>$E$5953</f>
        <v>Show</v>
      </c>
      <c r="D3256" s="23"/>
      <c r="E3256" s="12"/>
      <c r="F3256" s="70" t="s">
        <v>119</v>
      </c>
      <c r="G3256" s="11" t="s">
        <v>3438</v>
      </c>
    </row>
    <row r="3257" spans="2:8" hidden="1" outlineLevel="1">
      <c r="B3257" s="76"/>
      <c r="C3257" s="9" t="str">
        <f>C3256</f>
        <v>Show</v>
      </c>
      <c r="D3257" s="23"/>
      <c r="E3257" s="12"/>
      <c r="G3257" s="78" t="s">
        <v>121</v>
      </c>
      <c r="H3257" s="75" t="s">
        <v>2548</v>
      </c>
    </row>
    <row r="3258" spans="2:8" hidden="1" outlineLevel="1">
      <c r="B3258" s="76"/>
      <c r="C3258" s="9" t="str">
        <f>$E$5980</f>
        <v>Show</v>
      </c>
      <c r="D3258" s="23"/>
      <c r="E3258" s="12"/>
      <c r="F3258" s="70" t="str">
        <f>CHAR(65+(COUNTIF(C$3256:C3257,"Show")/2))&amp;"."</f>
        <v>B.</v>
      </c>
      <c r="G3258" s="12" t="s">
        <v>3451</v>
      </c>
    </row>
    <row r="3259" spans="2:8" hidden="1" outlineLevel="1">
      <c r="B3259" s="76"/>
      <c r="C3259" s="9" t="str">
        <f>C3258</f>
        <v>Show</v>
      </c>
      <c r="D3259" s="23"/>
      <c r="E3259" s="12"/>
      <c r="F3259" s="70"/>
      <c r="G3259" s="78" t="s">
        <v>121</v>
      </c>
      <c r="H3259" s="75" t="s">
        <v>2768</v>
      </c>
    </row>
    <row r="3260" spans="2:8" hidden="1" outlineLevel="1">
      <c r="B3260" s="76"/>
      <c r="C3260" s="9" t="str">
        <f>$E$5992</f>
        <v>Show</v>
      </c>
      <c r="D3260" s="23"/>
      <c r="E3260" s="12"/>
      <c r="F3260" s="70" t="str">
        <f>CHAR(65+(COUNTIF(C$3256:C3259,"Show")/2))&amp;"."</f>
        <v>C.</v>
      </c>
      <c r="G3260" s="12" t="s">
        <v>3447</v>
      </c>
    </row>
    <row r="3261" spans="2:8" hidden="1" outlineLevel="1">
      <c r="B3261" s="76"/>
      <c r="C3261" s="9" t="str">
        <f>C3260</f>
        <v>Show</v>
      </c>
      <c r="D3261" s="23"/>
      <c r="E3261" s="12"/>
      <c r="F3261" s="70"/>
      <c r="G3261" s="78" t="s">
        <v>121</v>
      </c>
      <c r="H3261" s="75" t="s">
        <v>2790</v>
      </c>
    </row>
    <row r="3262" spans="2:8" hidden="1" outlineLevel="1">
      <c r="B3262" s="76"/>
      <c r="C3262" s="9" t="str">
        <f>$E$5993</f>
        <v>Show</v>
      </c>
      <c r="D3262" s="23"/>
      <c r="E3262" s="12"/>
      <c r="F3262" s="70" t="str">
        <f>CHAR(65+(COUNTIF(C$3256:C3261,"Show")/2))&amp;"."</f>
        <v>D.</v>
      </c>
      <c r="G3262" s="12" t="s">
        <v>3453</v>
      </c>
    </row>
    <row r="3263" spans="2:8" hidden="1" outlineLevel="1">
      <c r="B3263" s="76"/>
      <c r="C3263" s="9" t="str">
        <f>C3262</f>
        <v>Show</v>
      </c>
      <c r="D3263" s="23"/>
      <c r="E3263" s="12"/>
      <c r="F3263" s="70"/>
      <c r="G3263" s="78" t="s">
        <v>121</v>
      </c>
      <c r="H3263" s="75" t="s">
        <v>2791</v>
      </c>
    </row>
    <row r="3264" spans="2:8" hidden="1" outlineLevel="1">
      <c r="B3264" s="76"/>
      <c r="C3264" s="9" t="str">
        <f>C3241</f>
        <v>Show</v>
      </c>
      <c r="D3264" s="23" t="s">
        <v>187</v>
      </c>
      <c r="E3264" s="13"/>
      <c r="G3264" s="13"/>
    </row>
    <row r="3265" spans="2:9" hidden="1" outlineLevel="1">
      <c r="B3265" s="76"/>
      <c r="C3265" s="9" t="str">
        <f>C3241</f>
        <v>Show</v>
      </c>
      <c r="D3265" s="23"/>
      <c r="E3265" s="12" t="str">
        <f>IF(COUNTIF(C3266:C3271,"Show")&gt;0,"3.1 Execution Requirements","No EGC Requirements")</f>
        <v>3.1 Execution Requirements</v>
      </c>
      <c r="G3265" s="13"/>
    </row>
    <row r="3266" spans="2:9" hidden="1" outlineLevel="1">
      <c r="B3266" s="76"/>
      <c r="C3266" s="9" t="str">
        <f>$F$5953</f>
        <v>Show</v>
      </c>
      <c r="D3266" s="23"/>
      <c r="E3266" s="12"/>
      <c r="F3266" s="70" t="s">
        <v>119</v>
      </c>
      <c r="G3266" s="11" t="s">
        <v>3438</v>
      </c>
    </row>
    <row r="3267" spans="2:9" hidden="1" outlineLevel="1">
      <c r="B3267" s="76"/>
      <c r="C3267" s="9" t="str">
        <f>C3266</f>
        <v>Show</v>
      </c>
      <c r="D3267" s="23"/>
      <c r="E3267" s="12"/>
      <c r="G3267" s="78" t="s">
        <v>121</v>
      </c>
      <c r="H3267" s="75" t="s">
        <v>2550</v>
      </c>
    </row>
    <row r="3268" spans="2:9" hidden="1" outlineLevel="1">
      <c r="B3268" s="76"/>
      <c r="C3268" s="9" t="str">
        <f>$F$5980</f>
        <v>Show</v>
      </c>
      <c r="D3268" s="23"/>
      <c r="E3268" s="12"/>
      <c r="F3268" s="70" t="str">
        <f>CHAR(65+(COUNTIF(C$3266:C3267,"Show")/2))&amp;"."</f>
        <v>B.</v>
      </c>
      <c r="G3268" s="12" t="s">
        <v>3451</v>
      </c>
    </row>
    <row r="3269" spans="2:9" hidden="1" outlineLevel="1">
      <c r="B3269" s="76"/>
      <c r="C3269" s="9" t="str">
        <f>C3268</f>
        <v>Show</v>
      </c>
      <c r="D3269" s="23"/>
      <c r="E3269" s="12"/>
      <c r="G3269" s="78" t="s">
        <v>121</v>
      </c>
      <c r="H3269" s="75" t="s">
        <v>2770</v>
      </c>
    </row>
    <row r="3270" spans="2:9" hidden="1" outlineLevel="1">
      <c r="B3270" s="76"/>
      <c r="C3270" s="9" t="str">
        <f>$F$5992</f>
        <v>Show</v>
      </c>
      <c r="D3270" s="23"/>
      <c r="E3270" s="13"/>
      <c r="F3270" s="70" t="str">
        <f>CHAR(65+(COUNTIF(C$3266:C3269,"Show")/2))&amp;"."</f>
        <v>C.</v>
      </c>
      <c r="G3270" s="12" t="s">
        <v>3447</v>
      </c>
    </row>
    <row r="3271" spans="2:9" ht="30" hidden="1" outlineLevel="1">
      <c r="B3271" s="76"/>
      <c r="C3271" s="9" t="str">
        <f>C3270</f>
        <v>Show</v>
      </c>
      <c r="D3271" s="23"/>
      <c r="E3271" s="13"/>
      <c r="F3271" s="70"/>
      <c r="G3271" s="78" t="s">
        <v>121</v>
      </c>
      <c r="H3271" s="75" t="s">
        <v>2792</v>
      </c>
    </row>
    <row r="3272" spans="2:9" hidden="1" outlineLevel="1">
      <c r="B3272" s="76"/>
      <c r="C3272" s="9" t="str">
        <f>C3241</f>
        <v>Show</v>
      </c>
    </row>
    <row r="3273" spans="2:9" collapsed="1">
      <c r="B3273" s="23"/>
      <c r="C3273" s="2" t="str">
        <f>C3274</f>
        <v>Show</v>
      </c>
      <c r="D3273" s="55" t="s">
        <v>2012</v>
      </c>
      <c r="E3273" s="56"/>
      <c r="F3273" s="57" t="s">
        <v>2013</v>
      </c>
      <c r="G3273" s="53"/>
      <c r="H3273" s="54"/>
      <c r="I3273" s="75"/>
    </row>
    <row r="3274" spans="2:9" hidden="1" outlineLevel="1">
      <c r="B3274" s="76"/>
      <c r="C3274" s="2" t="str">
        <f>IF((COUNTIF(C3278:C3280,"Show")+COUNTIF(C3285:C3286,"Show"))&gt;0,"Show","Hide")</f>
        <v>Show</v>
      </c>
      <c r="D3274" s="23" t="s">
        <v>117</v>
      </c>
      <c r="E3274" s="13"/>
      <c r="G3274" s="13"/>
    </row>
    <row r="3275" spans="2:9" hidden="1" outlineLevel="1">
      <c r="B3275" s="76"/>
      <c r="C3275" s="9" t="str">
        <f>C3274</f>
        <v>Show</v>
      </c>
      <c r="D3275" s="23"/>
      <c r="E3275" s="13">
        <v>1.1000000000000001</v>
      </c>
      <c r="F3275" s="11" t="s">
        <v>118</v>
      </c>
      <c r="G3275" s="13"/>
    </row>
    <row r="3276" spans="2:9" hidden="1" outlineLevel="1">
      <c r="B3276" s="76"/>
      <c r="C3276" s="9" t="str">
        <f>C3275</f>
        <v>Show</v>
      </c>
      <c r="D3276" s="23"/>
      <c r="E3276" s="13"/>
      <c r="F3276" s="70" t="s">
        <v>119</v>
      </c>
      <c r="G3276" s="18" t="s">
        <v>677</v>
      </c>
    </row>
    <row r="3277" spans="2:9" hidden="1" outlineLevel="1">
      <c r="B3277" s="76"/>
      <c r="C3277" s="9" t="str">
        <f>C3276</f>
        <v>Show</v>
      </c>
      <c r="D3277" s="23"/>
      <c r="E3277" s="13"/>
      <c r="F3277" s="70"/>
      <c r="G3277" s="78" t="s">
        <v>121</v>
      </c>
      <c r="H3277" s="79" t="s">
        <v>2301</v>
      </c>
    </row>
    <row r="3278" spans="2:9" hidden="1" outlineLevel="1">
      <c r="B3278" s="76"/>
      <c r="C3278" s="9" t="str">
        <f>IF(COUNTIF(C3279:C3280,"Show")&gt;0,"Show","Hide")</f>
        <v>Show</v>
      </c>
      <c r="D3278" s="23"/>
      <c r="E3278" s="13">
        <v>1.2</v>
      </c>
      <c r="F3278" s="71" t="s">
        <v>131</v>
      </c>
      <c r="G3278" s="78"/>
    </row>
    <row r="3279" spans="2:9" hidden="1" outlineLevel="1">
      <c r="B3279" s="76"/>
      <c r="C3279" s="9" t="str">
        <f>$D$5993</f>
        <v>Show</v>
      </c>
      <c r="D3279" s="23"/>
      <c r="E3279" s="13"/>
      <c r="F3279" s="70" t="s">
        <v>119</v>
      </c>
      <c r="G3279" s="12" t="s">
        <v>3453</v>
      </c>
    </row>
    <row r="3280" spans="2:9" ht="30" hidden="1" outlineLevel="1">
      <c r="B3280" s="76"/>
      <c r="C3280" s="9" t="str">
        <f>C3279</f>
        <v>Show</v>
      </c>
      <c r="D3280" s="23"/>
      <c r="E3280" s="13"/>
      <c r="F3280" s="70"/>
      <c r="G3280" s="78" t="s">
        <v>121</v>
      </c>
      <c r="H3280" s="75" t="s">
        <v>2801</v>
      </c>
    </row>
    <row r="3281" spans="2:9" hidden="1" outlineLevel="1">
      <c r="B3281" s="76"/>
      <c r="C3281" s="9" t="str">
        <f>C3274</f>
        <v>Show</v>
      </c>
      <c r="D3281" s="23" t="s">
        <v>613</v>
      </c>
      <c r="E3281" s="13"/>
      <c r="G3281" s="13"/>
    </row>
    <row r="3282" spans="2:9" hidden="1" outlineLevel="1">
      <c r="B3282" s="76"/>
      <c r="C3282" s="9" t="str">
        <f>C3274</f>
        <v>Show</v>
      </c>
      <c r="D3282" s="23"/>
      <c r="E3282" s="12" t="s">
        <v>2703</v>
      </c>
      <c r="G3282" s="13"/>
    </row>
    <row r="3283" spans="2:9" hidden="1" outlineLevel="1">
      <c r="B3283" s="76"/>
      <c r="C3283" s="9" t="str">
        <f>C3274</f>
        <v>Show</v>
      </c>
      <c r="D3283" s="23" t="s">
        <v>187</v>
      </c>
      <c r="E3283" s="13"/>
      <c r="G3283" s="13"/>
    </row>
    <row r="3284" spans="2:9" hidden="1" outlineLevel="1">
      <c r="B3284" s="76"/>
      <c r="C3284" s="9" t="str">
        <f>C3274</f>
        <v>Show</v>
      </c>
      <c r="D3284" s="23"/>
      <c r="E3284" s="12" t="str">
        <f>IF(COUNTIF(C3285:C3286,"Show")&gt;0,"3.1 Execution Requirements","No EGC Requirements")</f>
        <v>3.1 Execution Requirements</v>
      </c>
      <c r="G3284" s="13"/>
    </row>
    <row r="3285" spans="2:9" hidden="1" outlineLevel="1">
      <c r="B3285" s="76"/>
      <c r="C3285" s="9" t="str">
        <f>$F$5993</f>
        <v>Show</v>
      </c>
      <c r="D3285" s="23"/>
      <c r="E3285" s="13"/>
      <c r="F3285" s="70" t="s">
        <v>119</v>
      </c>
      <c r="G3285" s="12" t="s">
        <v>3453</v>
      </c>
    </row>
    <row r="3286" spans="2:9" ht="30" hidden="1" outlineLevel="1">
      <c r="B3286" s="76"/>
      <c r="C3286" s="9" t="str">
        <f>C3285</f>
        <v>Show</v>
      </c>
      <c r="D3286" s="23"/>
      <c r="E3286" s="13"/>
      <c r="G3286" s="78" t="s">
        <v>121</v>
      </c>
      <c r="H3286" s="75" t="s">
        <v>2800</v>
      </c>
    </row>
    <row r="3287" spans="2:9" hidden="1" outlineLevel="1">
      <c r="B3287" s="76"/>
      <c r="C3287" s="9" t="str">
        <f>C3274</f>
        <v>Show</v>
      </c>
    </row>
    <row r="3288" spans="2:9" collapsed="1">
      <c r="B3288" s="23"/>
      <c r="C3288" s="2" t="str">
        <f>C3289</f>
        <v>Show</v>
      </c>
      <c r="D3288" s="55" t="s">
        <v>284</v>
      </c>
      <c r="E3288" s="56"/>
      <c r="F3288" s="57" t="s">
        <v>285</v>
      </c>
      <c r="G3288" s="53"/>
      <c r="H3288" s="54"/>
      <c r="I3288" s="75"/>
    </row>
    <row r="3289" spans="2:9" hidden="1" outlineLevel="1">
      <c r="B3289" s="76"/>
      <c r="C3289" s="2" t="str">
        <f>IF((COUNTIF(C3293:C3301,"Show")+COUNTIF(C3304:C3309,"Show")+COUNTIF(C3312:C3319,"Show"))&gt;0,"Show","Hide")</f>
        <v>Show</v>
      </c>
      <c r="D3289" s="23" t="s">
        <v>117</v>
      </c>
      <c r="E3289" s="13"/>
      <c r="G3289" s="13"/>
    </row>
    <row r="3290" spans="2:9" hidden="1" outlineLevel="1">
      <c r="B3290" s="76"/>
      <c r="C3290" s="9" t="str">
        <f>C3289</f>
        <v>Show</v>
      </c>
      <c r="D3290" s="23"/>
      <c r="E3290" s="13">
        <v>1.1000000000000001</v>
      </c>
      <c r="F3290" s="11" t="s">
        <v>118</v>
      </c>
      <c r="G3290" s="13"/>
    </row>
    <row r="3291" spans="2:9" hidden="1" outlineLevel="1">
      <c r="B3291" s="76"/>
      <c r="C3291" s="9" t="str">
        <f>C3290</f>
        <v>Show</v>
      </c>
      <c r="D3291" s="23"/>
      <c r="E3291" s="13"/>
      <c r="F3291" s="70" t="s">
        <v>119</v>
      </c>
      <c r="G3291" s="18" t="s">
        <v>677</v>
      </c>
    </row>
    <row r="3292" spans="2:9" hidden="1" outlineLevel="1">
      <c r="B3292" s="76"/>
      <c r="C3292" s="9" t="str">
        <f>C3291</f>
        <v>Show</v>
      </c>
      <c r="D3292" s="23"/>
      <c r="E3292" s="13"/>
      <c r="F3292" s="70"/>
      <c r="G3292" s="78" t="s">
        <v>121</v>
      </c>
      <c r="H3292" s="79" t="s">
        <v>2301</v>
      </c>
    </row>
    <row r="3293" spans="2:9" hidden="1" outlineLevel="1">
      <c r="B3293" s="76"/>
      <c r="C3293" s="9" t="str">
        <f>IF(COUNTIF(C3294:C3301,"Show")&gt;0,"Show","Hide")</f>
        <v>Show</v>
      </c>
      <c r="D3293" s="23"/>
      <c r="E3293" s="13">
        <v>1.2</v>
      </c>
      <c r="F3293" s="71" t="s">
        <v>131</v>
      </c>
      <c r="G3293" s="78"/>
    </row>
    <row r="3294" spans="2:9" hidden="1" outlineLevel="1">
      <c r="B3294" s="76"/>
      <c r="C3294" s="2" t="str">
        <f>$D$5953</f>
        <v>Show</v>
      </c>
      <c r="D3294" s="23"/>
      <c r="E3294" s="13"/>
      <c r="F3294" s="70" t="s">
        <v>119</v>
      </c>
      <c r="G3294" s="11" t="s">
        <v>3438</v>
      </c>
    </row>
    <row r="3295" spans="2:9" hidden="1" outlineLevel="1">
      <c r="B3295" s="76"/>
      <c r="C3295" s="2" t="str">
        <f>C3294</f>
        <v>Show</v>
      </c>
      <c r="D3295" s="23"/>
      <c r="E3295" s="13"/>
      <c r="G3295" s="78" t="s">
        <v>121</v>
      </c>
      <c r="H3295" s="75" t="s">
        <v>2787</v>
      </c>
    </row>
    <row r="3296" spans="2:9" hidden="1" outlineLevel="1">
      <c r="B3296" s="76"/>
      <c r="C3296" s="9" t="str">
        <f>$D$5974</f>
        <v>Show</v>
      </c>
      <c r="D3296" s="23"/>
      <c r="E3296" s="13"/>
      <c r="F3296" s="70" t="str">
        <f>CHAR(65+(COUNTIF(C$3294:C3295,"Show")/2))&amp;"."</f>
        <v>B.</v>
      </c>
      <c r="G3296" s="12" t="s">
        <v>3407</v>
      </c>
    </row>
    <row r="3297" spans="2:8" hidden="1" outlineLevel="1">
      <c r="B3297" s="76"/>
      <c r="C3297" s="9" t="str">
        <f>C3296</f>
        <v>Show</v>
      </c>
      <c r="D3297" s="23"/>
      <c r="E3297" s="13"/>
      <c r="F3297" s="70"/>
      <c r="G3297" s="78" t="s">
        <v>121</v>
      </c>
      <c r="H3297" s="75" t="s">
        <v>2323</v>
      </c>
    </row>
    <row r="3298" spans="2:8" hidden="1" outlineLevel="1">
      <c r="B3298" s="76"/>
      <c r="C3298" s="9" t="str">
        <f>$D$5992</f>
        <v>Show</v>
      </c>
      <c r="D3298" s="23"/>
      <c r="E3298" s="13"/>
      <c r="F3298" s="70" t="str">
        <f>CHAR(65+(COUNTIF(C$3294:C3297,"Show")/2))&amp;"."</f>
        <v>C.</v>
      </c>
      <c r="G3298" s="12" t="s">
        <v>3447</v>
      </c>
    </row>
    <row r="3299" spans="2:8" hidden="1" outlineLevel="1">
      <c r="B3299" s="76"/>
      <c r="C3299" s="9" t="str">
        <f>C3298</f>
        <v>Show</v>
      </c>
      <c r="D3299" s="23"/>
      <c r="E3299" s="13"/>
      <c r="F3299" s="70"/>
      <c r="G3299" s="78" t="s">
        <v>121</v>
      </c>
      <c r="H3299" s="75" t="s">
        <v>2788</v>
      </c>
    </row>
    <row r="3300" spans="2:8" hidden="1" outlineLevel="1">
      <c r="B3300" s="76"/>
      <c r="C3300" s="9" t="str">
        <f>$D$5996</f>
        <v>Show</v>
      </c>
      <c r="D3300" s="23"/>
      <c r="E3300" s="13"/>
      <c r="F3300" s="70" t="str">
        <f>CHAR(65+(COUNTIF(C$3294:C3299,"Show")/2))&amp;"."</f>
        <v>D.</v>
      </c>
      <c r="G3300" s="12" t="s">
        <v>3457</v>
      </c>
    </row>
    <row r="3301" spans="2:8" hidden="1" outlineLevel="1">
      <c r="B3301" s="76"/>
      <c r="C3301" s="9" t="str">
        <f>C3300</f>
        <v>Show</v>
      </c>
      <c r="D3301" s="23"/>
      <c r="E3301" s="13"/>
      <c r="F3301" s="70"/>
      <c r="G3301" s="78" t="s">
        <v>121</v>
      </c>
      <c r="H3301" s="75" t="s">
        <v>2804</v>
      </c>
    </row>
    <row r="3302" spans="2:8" hidden="1" outlineLevel="1">
      <c r="B3302" s="76"/>
      <c r="C3302" s="9" t="str">
        <f>C3273</f>
        <v>Show</v>
      </c>
      <c r="D3302" s="23" t="s">
        <v>613</v>
      </c>
      <c r="E3302" s="13"/>
      <c r="F3302" s="70"/>
      <c r="G3302" s="13"/>
    </row>
    <row r="3303" spans="2:8" hidden="1" outlineLevel="1">
      <c r="B3303" s="76"/>
      <c r="C3303" s="9" t="str">
        <f>C3273</f>
        <v>Show</v>
      </c>
      <c r="D3303" s="23"/>
      <c r="E3303" s="12" t="str">
        <f>IF(COUNTIF(C3304:C3309,"Show")&gt;0,"2.1 Product Requirements","No EGC Requirements")</f>
        <v>2.1 Product Requirements</v>
      </c>
      <c r="G3303" s="13"/>
    </row>
    <row r="3304" spans="2:8" hidden="1" outlineLevel="1">
      <c r="B3304" s="76"/>
      <c r="C3304" s="9" t="str">
        <f>$E$5953</f>
        <v>Show</v>
      </c>
      <c r="D3304" s="23"/>
      <c r="E3304" s="12"/>
      <c r="F3304" s="70" t="s">
        <v>119</v>
      </c>
      <c r="G3304" s="11" t="s">
        <v>3438</v>
      </c>
    </row>
    <row r="3305" spans="2:8" hidden="1" outlineLevel="1">
      <c r="B3305" s="76"/>
      <c r="C3305" s="9" t="str">
        <f>C3304</f>
        <v>Show</v>
      </c>
      <c r="D3305" s="23"/>
      <c r="E3305" s="12"/>
      <c r="G3305" s="78" t="s">
        <v>121</v>
      </c>
      <c r="H3305" s="75" t="s">
        <v>2548</v>
      </c>
    </row>
    <row r="3306" spans="2:8" hidden="1" outlineLevel="1">
      <c r="B3306" s="76"/>
      <c r="C3306" s="9" t="str">
        <f>$E$5974</f>
        <v>Show</v>
      </c>
      <c r="D3306" s="23"/>
      <c r="E3306" s="12"/>
      <c r="F3306" s="70" t="str">
        <f>CHAR(65+(COUNTIF(C$3304:C3305,"Show")/2))&amp;"."</f>
        <v>B.</v>
      </c>
      <c r="G3306" s="12" t="s">
        <v>3407</v>
      </c>
    </row>
    <row r="3307" spans="2:8" hidden="1" outlineLevel="1">
      <c r="B3307" s="76"/>
      <c r="C3307" s="9" t="str">
        <f>C3306</f>
        <v>Show</v>
      </c>
      <c r="D3307" s="23"/>
      <c r="E3307" s="12"/>
      <c r="F3307" s="70"/>
      <c r="G3307" s="30" t="s">
        <v>121</v>
      </c>
      <c r="H3307" s="75" t="s">
        <v>2698</v>
      </c>
    </row>
    <row r="3308" spans="2:8" hidden="1" outlineLevel="1">
      <c r="B3308" s="76"/>
      <c r="C3308" s="9" t="str">
        <f>$E$5996</f>
        <v>Show</v>
      </c>
      <c r="D3308" s="23"/>
      <c r="E3308" s="12"/>
      <c r="F3308" s="70" t="str">
        <f>CHAR(65+(COUNTIF(C$3304:C3307,"Show")/2))&amp;"."</f>
        <v>C.</v>
      </c>
      <c r="G3308" s="12" t="s">
        <v>3457</v>
      </c>
    </row>
    <row r="3309" spans="2:8" hidden="1" outlineLevel="1">
      <c r="B3309" s="76"/>
      <c r="C3309" s="9" t="str">
        <f>C3308</f>
        <v>Show</v>
      </c>
      <c r="D3309" s="23"/>
      <c r="E3309" s="12"/>
      <c r="F3309" s="70"/>
      <c r="G3309" s="78" t="s">
        <v>121</v>
      </c>
      <c r="H3309" s="75" t="s">
        <v>2803</v>
      </c>
    </row>
    <row r="3310" spans="2:8" hidden="1" outlineLevel="1">
      <c r="B3310" s="76"/>
      <c r="C3310" s="9" t="str">
        <f>C3259</f>
        <v>Show</v>
      </c>
      <c r="D3310" s="23" t="s">
        <v>187</v>
      </c>
      <c r="E3310" s="13"/>
      <c r="G3310" s="13"/>
    </row>
    <row r="3311" spans="2:8" hidden="1" outlineLevel="1">
      <c r="B3311" s="76"/>
      <c r="C3311" s="9" t="str">
        <f>C3259</f>
        <v>Show</v>
      </c>
      <c r="D3311" s="23"/>
      <c r="E3311" s="12" t="str">
        <f>IF(COUNTIF(C3312:C3319,"Show")&gt;0,"3.1 Execution Requirements","No EGC Requirements")</f>
        <v>3.1 Execution Requirements</v>
      </c>
      <c r="G3311" s="13"/>
    </row>
    <row r="3312" spans="2:8" hidden="1" outlineLevel="1">
      <c r="B3312" s="76"/>
      <c r="C3312" s="9" t="str">
        <f>$F$5953</f>
        <v>Show</v>
      </c>
      <c r="D3312" s="23"/>
      <c r="E3312" s="12"/>
      <c r="F3312" s="70" t="s">
        <v>119</v>
      </c>
      <c r="G3312" s="11" t="s">
        <v>3438</v>
      </c>
    </row>
    <row r="3313" spans="2:9" hidden="1" outlineLevel="1">
      <c r="B3313" s="76"/>
      <c r="C3313" s="9" t="str">
        <f>C3312</f>
        <v>Show</v>
      </c>
      <c r="D3313" s="23"/>
      <c r="E3313" s="12"/>
      <c r="G3313" s="30" t="s">
        <v>121</v>
      </c>
      <c r="H3313" s="75" t="s">
        <v>2550</v>
      </c>
    </row>
    <row r="3314" spans="2:9" hidden="1" outlineLevel="1">
      <c r="B3314" s="76"/>
      <c r="C3314" s="9" t="str">
        <f>$F$5974</f>
        <v>Show</v>
      </c>
      <c r="D3314" s="23"/>
      <c r="E3314" s="13"/>
      <c r="F3314" s="70" t="str">
        <f>CHAR(65+(COUNTIF(C$3312:C3313,"Show")/2))&amp;"."</f>
        <v>B.</v>
      </c>
      <c r="G3314" s="12" t="s">
        <v>3456</v>
      </c>
    </row>
    <row r="3315" spans="2:9" hidden="1" outlineLevel="1">
      <c r="B3315" s="76"/>
      <c r="C3315" s="9" t="str">
        <f>C3314</f>
        <v>Show</v>
      </c>
      <c r="D3315" s="23"/>
      <c r="E3315" s="13"/>
      <c r="F3315" s="70"/>
      <c r="G3315" s="78" t="s">
        <v>121</v>
      </c>
      <c r="H3315" s="75" t="s">
        <v>2324</v>
      </c>
    </row>
    <row r="3316" spans="2:9" hidden="1" outlineLevel="1">
      <c r="B3316" s="76"/>
      <c r="C3316" s="9" t="str">
        <f>$F$5992</f>
        <v>Show</v>
      </c>
      <c r="D3316" s="23"/>
      <c r="E3316" s="13"/>
      <c r="F3316" s="70" t="str">
        <f>CHAR(65+(COUNTIF(C$3312:C3315,"Show")/2))&amp;"."</f>
        <v>C.</v>
      </c>
      <c r="G3316" s="12" t="s">
        <v>3447</v>
      </c>
    </row>
    <row r="3317" spans="2:9" ht="30" hidden="1" outlineLevel="1">
      <c r="B3317" s="76"/>
      <c r="C3317" s="9" t="str">
        <f>C3316</f>
        <v>Show</v>
      </c>
      <c r="D3317" s="23"/>
      <c r="E3317" s="13"/>
      <c r="F3317" s="70"/>
      <c r="G3317" s="78" t="s">
        <v>121</v>
      </c>
      <c r="H3317" s="75" t="s">
        <v>2792</v>
      </c>
    </row>
    <row r="3318" spans="2:9" hidden="1" outlineLevel="1">
      <c r="B3318" s="76"/>
      <c r="C3318" s="9" t="str">
        <f>$F$5996</f>
        <v>Show</v>
      </c>
      <c r="D3318" s="23"/>
      <c r="E3318" s="13"/>
      <c r="F3318" s="70" t="str">
        <f>CHAR(65+(COUNTIF(C$3312:C3317,"Show")/2))&amp;"."</f>
        <v>D.</v>
      </c>
      <c r="G3318" s="12" t="s">
        <v>3457</v>
      </c>
    </row>
    <row r="3319" spans="2:9" ht="30" hidden="1" outlineLevel="1">
      <c r="B3319" s="76"/>
      <c r="C3319" s="9" t="str">
        <f>C3318</f>
        <v>Show</v>
      </c>
      <c r="D3319" s="23"/>
      <c r="E3319" s="13"/>
      <c r="F3319" s="70"/>
      <c r="G3319" s="78" t="s">
        <v>121</v>
      </c>
      <c r="H3319" s="75" t="s">
        <v>2802</v>
      </c>
    </row>
    <row r="3320" spans="2:9" hidden="1" outlineLevel="1">
      <c r="B3320" s="76"/>
      <c r="C3320" s="9" t="str">
        <f>C3289</f>
        <v>Show</v>
      </c>
      <c r="D3320" s="23"/>
      <c r="E3320" s="13"/>
      <c r="F3320" s="70"/>
      <c r="G3320" s="78"/>
    </row>
    <row r="3321" spans="2:9" collapsed="1">
      <c r="B3321" s="23"/>
      <c r="C3321" s="2" t="str">
        <f>C3322</f>
        <v>Show</v>
      </c>
      <c r="D3321" s="55" t="s">
        <v>1665</v>
      </c>
      <c r="E3321" s="56"/>
      <c r="F3321" s="57" t="s">
        <v>1653</v>
      </c>
      <c r="G3321" s="53"/>
      <c r="H3321" s="54"/>
      <c r="I3321" s="75"/>
    </row>
    <row r="3322" spans="2:9" hidden="1" outlineLevel="1">
      <c r="B3322" s="76"/>
      <c r="C3322" s="2" t="str">
        <f>IF((COUNTIF(C3326:C3330,"Show")+COUNTIF(C3333:C3336,"Show")+COUNTIF(C3339:C3342,"Show"))&gt;0,"Show","Hide")</f>
        <v>Show</v>
      </c>
      <c r="D3322" s="23" t="s">
        <v>117</v>
      </c>
      <c r="E3322" s="13"/>
      <c r="G3322" s="13"/>
    </row>
    <row r="3323" spans="2:9" hidden="1" outlineLevel="1">
      <c r="B3323" s="76"/>
      <c r="C3323" s="9" t="str">
        <f>C3322</f>
        <v>Show</v>
      </c>
      <c r="D3323" s="23"/>
      <c r="E3323" s="13">
        <v>1.1000000000000001</v>
      </c>
      <c r="F3323" s="11" t="s">
        <v>118</v>
      </c>
      <c r="G3323" s="13"/>
    </row>
    <row r="3324" spans="2:9" hidden="1" outlineLevel="1">
      <c r="B3324" s="76"/>
      <c r="C3324" s="9" t="str">
        <f>C3323</f>
        <v>Show</v>
      </c>
      <c r="D3324" s="23"/>
      <c r="E3324" s="13"/>
      <c r="F3324" s="70" t="s">
        <v>119</v>
      </c>
      <c r="G3324" s="18" t="s">
        <v>677</v>
      </c>
    </row>
    <row r="3325" spans="2:9" hidden="1" outlineLevel="1">
      <c r="B3325" s="76"/>
      <c r="C3325" s="9" t="str">
        <f>C3324</f>
        <v>Show</v>
      </c>
      <c r="D3325" s="23"/>
      <c r="E3325" s="13"/>
      <c r="F3325" s="70"/>
      <c r="G3325" s="78" t="s">
        <v>121</v>
      </c>
      <c r="H3325" s="79" t="s">
        <v>2301</v>
      </c>
    </row>
    <row r="3326" spans="2:9" hidden="1" outlineLevel="1">
      <c r="B3326" s="76"/>
      <c r="C3326" s="9" t="str">
        <f>IF(COUNTIF(C3327:C3330,"Show")&gt;0,"Show","Hide")</f>
        <v>Show</v>
      </c>
      <c r="D3326" s="23"/>
      <c r="E3326" s="13">
        <v>1.2</v>
      </c>
      <c r="F3326" s="71" t="s">
        <v>131</v>
      </c>
      <c r="G3326" s="78"/>
    </row>
    <row r="3327" spans="2:9" hidden="1" outlineLevel="1">
      <c r="B3327" s="76"/>
      <c r="C3327" s="2" t="str">
        <f>$D$5953</f>
        <v>Show</v>
      </c>
      <c r="D3327" s="23"/>
      <c r="E3327" s="13"/>
      <c r="F3327" s="70" t="s">
        <v>119</v>
      </c>
      <c r="G3327" s="11" t="s">
        <v>3438</v>
      </c>
    </row>
    <row r="3328" spans="2:9" hidden="1" outlineLevel="1">
      <c r="B3328" s="76"/>
      <c r="C3328" s="2" t="str">
        <f>C3327</f>
        <v>Show</v>
      </c>
      <c r="D3328" s="23"/>
      <c r="E3328" s="13"/>
      <c r="G3328" s="78" t="s">
        <v>121</v>
      </c>
      <c r="H3328" s="75" t="s">
        <v>2787</v>
      </c>
    </row>
    <row r="3329" spans="2:9" hidden="1" outlineLevel="1">
      <c r="B3329" s="76"/>
      <c r="C3329" s="2" t="str">
        <f>$D$5955</f>
        <v>Show</v>
      </c>
      <c r="D3329" s="23"/>
      <c r="E3329" s="13"/>
      <c r="F3329" s="70" t="str">
        <f>CHAR(65+(COUNTIF(C$3327:C3328,"Show")/2))&amp;"."</f>
        <v>B.</v>
      </c>
      <c r="G3329" s="11" t="s">
        <v>3435</v>
      </c>
    </row>
    <row r="3330" spans="2:9" hidden="1" outlineLevel="1">
      <c r="B3330" s="76"/>
      <c r="C3330" s="2" t="str">
        <f>C3329</f>
        <v>Show</v>
      </c>
      <c r="D3330" s="23"/>
      <c r="E3330" s="13"/>
      <c r="G3330" s="78" t="s">
        <v>121</v>
      </c>
      <c r="H3330" s="75" t="s">
        <v>2793</v>
      </c>
    </row>
    <row r="3331" spans="2:9" hidden="1" outlineLevel="1">
      <c r="B3331" s="76"/>
      <c r="C3331" s="9" t="str">
        <f>C3322</f>
        <v>Show</v>
      </c>
      <c r="D3331" s="23" t="s">
        <v>613</v>
      </c>
      <c r="E3331" s="13"/>
      <c r="F3331" s="70"/>
      <c r="G3331" s="13"/>
    </row>
    <row r="3332" spans="2:9" hidden="1" outlineLevel="1">
      <c r="B3332" s="76"/>
      <c r="C3332" s="9" t="str">
        <f>C3322</f>
        <v>Show</v>
      </c>
      <c r="D3332" s="23"/>
      <c r="E3332" s="12" t="str">
        <f>IF(COUNTIF(C3333:C3336,"Show")&gt;0,"2.1 Product Requirements","No EGC Requirements")</f>
        <v>2.1 Product Requirements</v>
      </c>
      <c r="G3332" s="13"/>
    </row>
    <row r="3333" spans="2:9" hidden="1" outlineLevel="1">
      <c r="B3333" s="76"/>
      <c r="C3333" s="9" t="str">
        <f>$E$5953</f>
        <v>Show</v>
      </c>
      <c r="D3333" s="23"/>
      <c r="E3333" s="12"/>
      <c r="F3333" s="70" t="s">
        <v>119</v>
      </c>
      <c r="G3333" s="11" t="s">
        <v>3438</v>
      </c>
    </row>
    <row r="3334" spans="2:9" hidden="1" outlineLevel="1">
      <c r="B3334" s="76"/>
      <c r="C3334" s="9" t="str">
        <f>C3333</f>
        <v>Show</v>
      </c>
      <c r="D3334" s="23"/>
      <c r="E3334" s="12"/>
      <c r="G3334" s="78" t="s">
        <v>121</v>
      </c>
      <c r="H3334" s="75" t="s">
        <v>2548</v>
      </c>
    </row>
    <row r="3335" spans="2:9" hidden="1" outlineLevel="1">
      <c r="B3335" s="76"/>
      <c r="C3335" s="9" t="str">
        <f>$E$5955</f>
        <v>Show</v>
      </c>
      <c r="D3335" s="23"/>
      <c r="E3335" s="12"/>
      <c r="F3335" s="70" t="str">
        <f>CHAR(65+(COUNTIF(C$3333:C3334,"Show")/2))&amp;"."</f>
        <v>B.</v>
      </c>
      <c r="G3335" s="11" t="s">
        <v>3435</v>
      </c>
    </row>
    <row r="3336" spans="2:9" hidden="1" outlineLevel="1">
      <c r="B3336" s="76"/>
      <c r="C3336" s="9" t="str">
        <f>C3335</f>
        <v>Show</v>
      </c>
      <c r="D3336" s="23"/>
      <c r="E3336" s="12"/>
      <c r="G3336" s="78" t="s">
        <v>121</v>
      </c>
      <c r="H3336" s="75" t="s">
        <v>2539</v>
      </c>
    </row>
    <row r="3337" spans="2:9" hidden="1" outlineLevel="1">
      <c r="B3337" s="76"/>
      <c r="C3337" s="9" t="str">
        <f>C3322</f>
        <v>Show</v>
      </c>
      <c r="D3337" s="23" t="s">
        <v>187</v>
      </c>
      <c r="E3337" s="13"/>
      <c r="G3337" s="13"/>
    </row>
    <row r="3338" spans="2:9" hidden="1" outlineLevel="1">
      <c r="B3338" s="76"/>
      <c r="C3338" s="9" t="str">
        <f>C3322</f>
        <v>Show</v>
      </c>
      <c r="D3338" s="23"/>
      <c r="E3338" s="12" t="str">
        <f>IF(COUNTIF(C3339:C3342,"Show")&gt;0,"3.1 Execution Requirements","No EGC Requirements")</f>
        <v>3.1 Execution Requirements</v>
      </c>
      <c r="G3338" s="13"/>
    </row>
    <row r="3339" spans="2:9" hidden="1" outlineLevel="1">
      <c r="B3339" s="76"/>
      <c r="C3339" s="9" t="str">
        <f>$F$5953</f>
        <v>Show</v>
      </c>
      <c r="D3339" s="23"/>
      <c r="E3339" s="12"/>
      <c r="F3339" s="70" t="s">
        <v>119</v>
      </c>
      <c r="G3339" s="11" t="s">
        <v>3438</v>
      </c>
    </row>
    <row r="3340" spans="2:9" hidden="1" outlineLevel="1">
      <c r="B3340" s="76"/>
      <c r="C3340" s="9" t="str">
        <f>C3339</f>
        <v>Show</v>
      </c>
      <c r="D3340" s="23"/>
      <c r="E3340" s="12"/>
      <c r="G3340" s="30" t="s">
        <v>121</v>
      </c>
      <c r="H3340" s="75" t="s">
        <v>2550</v>
      </c>
    </row>
    <row r="3341" spans="2:9" hidden="1" outlineLevel="1">
      <c r="B3341" s="76"/>
      <c r="C3341" s="9" t="str">
        <f>$F$5955</f>
        <v>Show</v>
      </c>
      <c r="D3341" s="23"/>
      <c r="E3341" s="12"/>
      <c r="F3341" s="70" t="str">
        <f>CHAR(65+(COUNTIF(C$3339:C3340,"Show")/2))&amp;"."</f>
        <v>B.</v>
      </c>
      <c r="G3341" s="11" t="s">
        <v>3435</v>
      </c>
    </row>
    <row r="3342" spans="2:9" ht="30" hidden="1" outlineLevel="1">
      <c r="B3342" s="76"/>
      <c r="C3342" s="9" t="str">
        <f>C3341</f>
        <v>Show</v>
      </c>
      <c r="D3342" s="23"/>
      <c r="E3342" s="12"/>
      <c r="G3342" s="30" t="s">
        <v>121</v>
      </c>
      <c r="H3342" s="75" t="s">
        <v>2540</v>
      </c>
    </row>
    <row r="3343" spans="2:9" hidden="1" outlineLevel="1">
      <c r="B3343" s="76"/>
      <c r="C3343" s="9" t="str">
        <f>C3322</f>
        <v>Show</v>
      </c>
    </row>
    <row r="3344" spans="2:9" collapsed="1">
      <c r="B3344" s="76"/>
      <c r="C3344" s="7" t="s">
        <v>116</v>
      </c>
      <c r="D3344" s="80"/>
      <c r="E3344" s="132"/>
      <c r="F3344" s="12"/>
      <c r="G3344" s="69"/>
      <c r="I3344" s="75"/>
    </row>
    <row r="3345" spans="2:9">
      <c r="B3345" s="76"/>
      <c r="C3345" s="7" t="s">
        <v>116</v>
      </c>
      <c r="D3345" s="38" t="s">
        <v>553</v>
      </c>
      <c r="E3345" s="45"/>
      <c r="F3345" s="46"/>
      <c r="G3345" s="39"/>
      <c r="H3345" s="41"/>
      <c r="I3345" s="75"/>
    </row>
    <row r="3346" spans="2:9">
      <c r="B3346" s="23"/>
      <c r="C3346" s="2" t="str">
        <f>C3347</f>
        <v>Show</v>
      </c>
      <c r="D3346" s="55" t="s">
        <v>286</v>
      </c>
      <c r="E3346" s="55"/>
      <c r="F3346" s="57" t="s">
        <v>287</v>
      </c>
      <c r="G3346" s="58"/>
      <c r="H3346" s="54"/>
      <c r="I3346" s="75"/>
    </row>
    <row r="3347" spans="2:9" hidden="1" outlineLevel="1">
      <c r="B3347" s="76"/>
      <c r="C3347" s="2" t="str">
        <f>IF((COUNTIF(C3351:C3355,"Show")+COUNTIF(C3358:C3363,"Show")+COUNTIF(C3366:C3367,"Show"))&gt;0,"Show","Hide")</f>
        <v>Show</v>
      </c>
      <c r="D3347" s="23" t="s">
        <v>117</v>
      </c>
      <c r="E3347" s="13"/>
      <c r="G3347" s="13"/>
    </row>
    <row r="3348" spans="2:9" hidden="1" outlineLevel="1">
      <c r="B3348" s="76"/>
      <c r="C3348" s="9" t="str">
        <f>C3347</f>
        <v>Show</v>
      </c>
      <c r="D3348" s="23"/>
      <c r="E3348" s="13">
        <v>1.1000000000000001</v>
      </c>
      <c r="F3348" s="11" t="s">
        <v>118</v>
      </c>
      <c r="G3348" s="13"/>
    </row>
    <row r="3349" spans="2:9" hidden="1" outlineLevel="1">
      <c r="B3349" s="76"/>
      <c r="C3349" s="9" t="str">
        <f>C3348</f>
        <v>Show</v>
      </c>
      <c r="D3349" s="23"/>
      <c r="E3349" s="13"/>
      <c r="F3349" s="70" t="s">
        <v>119</v>
      </c>
      <c r="G3349" s="18" t="s">
        <v>677</v>
      </c>
    </row>
    <row r="3350" spans="2:9" hidden="1" outlineLevel="1">
      <c r="B3350" s="76"/>
      <c r="C3350" s="9" t="str">
        <f>C3349</f>
        <v>Show</v>
      </c>
      <c r="D3350" s="23"/>
      <c r="E3350" s="13"/>
      <c r="F3350" s="70"/>
      <c r="G3350" s="78" t="s">
        <v>121</v>
      </c>
      <c r="H3350" s="79" t="s">
        <v>2301</v>
      </c>
    </row>
    <row r="3351" spans="2:9" hidden="1" outlineLevel="1">
      <c r="B3351" s="76"/>
      <c r="C3351" s="9" t="str">
        <f>IF(COUNTIF(C3352:C3355,"Show")&gt;0,"Show","Hide")</f>
        <v>Show</v>
      </c>
      <c r="D3351" s="23"/>
      <c r="E3351" s="13">
        <v>1.2</v>
      </c>
      <c r="F3351" s="71" t="s">
        <v>131</v>
      </c>
      <c r="G3351" s="78"/>
    </row>
    <row r="3352" spans="2:9" hidden="1" outlineLevel="1">
      <c r="B3352" s="76"/>
      <c r="C3352" s="9" t="str">
        <f>$D$5954</f>
        <v>Show</v>
      </c>
      <c r="D3352" s="23"/>
      <c r="E3352" s="13"/>
      <c r="F3352" s="70" t="s">
        <v>119</v>
      </c>
      <c r="G3352" s="12" t="s">
        <v>3439</v>
      </c>
    </row>
    <row r="3353" spans="2:9" hidden="1" outlineLevel="1">
      <c r="B3353" s="76"/>
      <c r="C3353" s="9" t="str">
        <f>C3352</f>
        <v>Show</v>
      </c>
      <c r="D3353" s="23"/>
      <c r="E3353" s="13"/>
      <c r="F3353" s="70"/>
      <c r="G3353" s="78" t="s">
        <v>121</v>
      </c>
      <c r="H3353" s="75" t="s">
        <v>2547</v>
      </c>
    </row>
    <row r="3354" spans="2:9" hidden="1" outlineLevel="1">
      <c r="B3354" s="76"/>
      <c r="C3354" t="str">
        <f>$D$5976</f>
        <v>Show</v>
      </c>
      <c r="D3354" s="23"/>
      <c r="E3354" s="13"/>
      <c r="F3354" s="70" t="str">
        <f>CHAR(65+(COUNTIF(C$3352:C3353,"Show")/2))&amp;"."</f>
        <v>B.</v>
      </c>
      <c r="G3354" s="12" t="s">
        <v>3450</v>
      </c>
    </row>
    <row r="3355" spans="2:9" hidden="1" outlineLevel="1">
      <c r="B3355" s="76"/>
      <c r="C3355" s="9" t="str">
        <f>C3354</f>
        <v>Show</v>
      </c>
      <c r="D3355" s="23"/>
      <c r="E3355" s="13"/>
      <c r="F3355" s="70"/>
      <c r="G3355" s="78" t="s">
        <v>121</v>
      </c>
      <c r="H3355" s="75" t="s">
        <v>2529</v>
      </c>
    </row>
    <row r="3356" spans="2:9" hidden="1" outlineLevel="1">
      <c r="B3356" s="76"/>
      <c r="C3356" s="9" t="str">
        <f>C3347</f>
        <v>Show</v>
      </c>
      <c r="D3356" s="23" t="s">
        <v>613</v>
      </c>
      <c r="E3356" s="13"/>
      <c r="G3356" s="13"/>
    </row>
    <row r="3357" spans="2:9" hidden="1" outlineLevel="1">
      <c r="B3357" s="76"/>
      <c r="C3357" s="9" t="str">
        <f>C3347</f>
        <v>Show</v>
      </c>
      <c r="D3357" s="23"/>
      <c r="E3357" s="12" t="str">
        <f>IF(COUNTIF(C3358:C3363,"Show")&gt;0,"2.1 Product Requirements","No EGC Requirements")</f>
        <v>2.1 Product Requirements</v>
      </c>
      <c r="G3357" s="13"/>
    </row>
    <row r="3358" spans="2:9" hidden="1" outlineLevel="1">
      <c r="B3358" s="76"/>
      <c r="C3358" t="str">
        <f>$E$5954</f>
        <v>Show</v>
      </c>
      <c r="D3358" s="23"/>
      <c r="E3358" s="12"/>
      <c r="F3358" s="70" t="s">
        <v>119</v>
      </c>
      <c r="G3358" s="12" t="s">
        <v>3439</v>
      </c>
    </row>
    <row r="3359" spans="2:9" hidden="1" outlineLevel="1">
      <c r="B3359" s="76"/>
      <c r="C3359" s="9" t="str">
        <f>C3358</f>
        <v>Show</v>
      </c>
      <c r="D3359" s="23"/>
      <c r="E3359" s="12"/>
      <c r="G3359" s="30" t="s">
        <v>121</v>
      </c>
      <c r="H3359" s="75" t="s">
        <v>2549</v>
      </c>
    </row>
    <row r="3360" spans="2:9" hidden="1" outlineLevel="1">
      <c r="B3360" s="76"/>
      <c r="C3360" t="str">
        <f>$E$5973</f>
        <v>Show</v>
      </c>
      <c r="D3360" s="23"/>
      <c r="E3360" s="12"/>
      <c r="F3360" s="70" t="str">
        <f>CHAR(65+(COUNTIF(C$3358:C3359,"Show")/2))&amp;"."</f>
        <v>B.</v>
      </c>
      <c r="G3360" s="12" t="s">
        <v>3431</v>
      </c>
    </row>
    <row r="3361" spans="2:9" hidden="1" outlineLevel="1">
      <c r="B3361" s="76"/>
      <c r="C3361" s="9" t="str">
        <f>C3360</f>
        <v>Show</v>
      </c>
      <c r="D3361" s="23"/>
      <c r="E3361" s="12"/>
      <c r="G3361" s="30" t="s">
        <v>121</v>
      </c>
      <c r="H3361" s="75" t="s">
        <v>2408</v>
      </c>
    </row>
    <row r="3362" spans="2:9" hidden="1" outlineLevel="1">
      <c r="B3362" s="76"/>
      <c r="C3362" t="str">
        <f>$E$5976</f>
        <v>Show</v>
      </c>
      <c r="D3362" s="23"/>
      <c r="E3362" s="12"/>
      <c r="F3362" s="70" t="str">
        <f>CHAR(65+(COUNTIF(C$3358:C3361,"Show")/2))&amp;"."</f>
        <v>C.</v>
      </c>
      <c r="G3362" s="12" t="s">
        <v>3450</v>
      </c>
    </row>
    <row r="3363" spans="2:9" hidden="1" outlineLevel="1">
      <c r="B3363" s="76"/>
      <c r="C3363" s="9" t="str">
        <f>C3362</f>
        <v>Show</v>
      </c>
      <c r="D3363" s="23"/>
      <c r="E3363" s="12"/>
      <c r="G3363" s="30" t="s">
        <v>121</v>
      </c>
      <c r="H3363" s="75" t="s">
        <v>2530</v>
      </c>
    </row>
    <row r="3364" spans="2:9" hidden="1" outlineLevel="1">
      <c r="B3364" s="76"/>
      <c r="C3364" s="9" t="str">
        <f>C3347</f>
        <v>Show</v>
      </c>
      <c r="D3364" s="23" t="s">
        <v>187</v>
      </c>
      <c r="E3364" s="13"/>
      <c r="G3364" s="13"/>
    </row>
    <row r="3365" spans="2:9" hidden="1" outlineLevel="1">
      <c r="B3365" s="76"/>
      <c r="C3365" s="9" t="str">
        <f>C3347</f>
        <v>Show</v>
      </c>
      <c r="D3365" s="23"/>
      <c r="E3365" s="12" t="str">
        <f>IF(COUNTIF(C3366:C3367,"Show")&gt;0,"3.1 Execution Requirements","No EGC Requirements")</f>
        <v>3.1 Execution Requirements</v>
      </c>
      <c r="G3365" s="13"/>
    </row>
    <row r="3366" spans="2:9" hidden="1" outlineLevel="1">
      <c r="B3366" s="76"/>
      <c r="C3366" t="str">
        <f>$F$5954</f>
        <v>Show</v>
      </c>
      <c r="D3366" s="23"/>
      <c r="E3366" s="13"/>
      <c r="F3366" s="70" t="s">
        <v>119</v>
      </c>
      <c r="G3366" s="12" t="s">
        <v>3439</v>
      </c>
    </row>
    <row r="3367" spans="2:9" ht="30" hidden="1" outlineLevel="1">
      <c r="B3367" s="76"/>
      <c r="C3367" s="9" t="str">
        <f>C3366</f>
        <v>Show</v>
      </c>
      <c r="D3367" s="23"/>
      <c r="E3367" s="13"/>
      <c r="G3367" s="78" t="s">
        <v>121</v>
      </c>
      <c r="H3367" s="75" t="s">
        <v>2551</v>
      </c>
    </row>
    <row r="3368" spans="2:9" hidden="1" outlineLevel="1">
      <c r="B3368" s="76"/>
      <c r="C3368" s="9" t="str">
        <f>C3347</f>
        <v>Show</v>
      </c>
    </row>
    <row r="3369" spans="2:9" collapsed="1">
      <c r="B3369" s="23"/>
      <c r="C3369" s="2" t="str">
        <f>C3370</f>
        <v>Show</v>
      </c>
      <c r="D3369" s="55" t="s">
        <v>1667</v>
      </c>
      <c r="E3369" s="55"/>
      <c r="F3369" s="57" t="s">
        <v>288</v>
      </c>
      <c r="G3369" s="58"/>
      <c r="H3369" s="54"/>
      <c r="I3369" s="75"/>
    </row>
    <row r="3370" spans="2:9" hidden="1" outlineLevel="1">
      <c r="B3370" s="76"/>
      <c r="C3370" s="2" t="str">
        <f>IF((COUNTIF(C3374:C3376,"Show")+COUNTIF(C3381:C3382,"Show")+COUNTIF(C3387:C3388,"Show"))&gt;0,"Show","Hide")</f>
        <v>Show</v>
      </c>
      <c r="D3370" s="23" t="s">
        <v>117</v>
      </c>
      <c r="E3370" s="13"/>
      <c r="G3370" s="13"/>
    </row>
    <row r="3371" spans="2:9" hidden="1" outlineLevel="1">
      <c r="B3371" s="76"/>
      <c r="C3371" s="9" t="str">
        <f>C3370</f>
        <v>Show</v>
      </c>
      <c r="D3371" s="23"/>
      <c r="E3371" s="13">
        <v>1.1000000000000001</v>
      </c>
      <c r="F3371" s="11" t="s">
        <v>118</v>
      </c>
      <c r="G3371" s="13"/>
    </row>
    <row r="3372" spans="2:9" hidden="1" outlineLevel="1">
      <c r="B3372" s="76"/>
      <c r="C3372" s="9" t="str">
        <f>C3371</f>
        <v>Show</v>
      </c>
      <c r="D3372" s="23"/>
      <c r="E3372" s="13"/>
      <c r="F3372" s="70" t="s">
        <v>119</v>
      </c>
      <c r="G3372" s="18" t="s">
        <v>677</v>
      </c>
    </row>
    <row r="3373" spans="2:9" hidden="1" outlineLevel="1">
      <c r="B3373" s="76"/>
      <c r="C3373" s="9" t="str">
        <f>C3372</f>
        <v>Show</v>
      </c>
      <c r="D3373" s="23"/>
      <c r="E3373" s="13"/>
      <c r="F3373" s="70"/>
      <c r="G3373" s="78" t="s">
        <v>121</v>
      </c>
      <c r="H3373" s="79" t="s">
        <v>2301</v>
      </c>
    </row>
    <row r="3374" spans="2:9" hidden="1" outlineLevel="1">
      <c r="B3374" s="76"/>
      <c r="C3374" s="9" t="str">
        <f>IF(COUNTIF(C3375:C3376,"Show")&gt;0,"Show","Hide")</f>
        <v>Show</v>
      </c>
      <c r="D3374" s="23"/>
      <c r="E3374" s="13">
        <v>1.2</v>
      </c>
      <c r="F3374" s="71" t="s">
        <v>131</v>
      </c>
      <c r="G3374" s="78"/>
    </row>
    <row r="3375" spans="2:9" hidden="1" outlineLevel="1">
      <c r="B3375" s="76"/>
      <c r="C3375" t="str">
        <f>$D$5976</f>
        <v>Show</v>
      </c>
      <c r="D3375" s="23"/>
      <c r="E3375" s="13"/>
      <c r="F3375" s="70" t="s">
        <v>119</v>
      </c>
      <c r="G3375" s="12" t="s">
        <v>3450</v>
      </c>
    </row>
    <row r="3376" spans="2:9" hidden="1" outlineLevel="1">
      <c r="B3376" s="76"/>
      <c r="C3376" s="9" t="str">
        <f>C3375</f>
        <v>Show</v>
      </c>
      <c r="D3376" s="23"/>
      <c r="E3376" s="13"/>
      <c r="F3376" s="70"/>
      <c r="G3376" s="78" t="s">
        <v>121</v>
      </c>
      <c r="H3376" s="75" t="s">
        <v>2529</v>
      </c>
    </row>
    <row r="3377" spans="2:9" hidden="1" outlineLevel="1">
      <c r="B3377" s="76"/>
      <c r="C3377" t="str">
        <f>$D$5988</f>
        <v>Show</v>
      </c>
      <c r="D3377" s="23"/>
      <c r="E3377" s="13"/>
      <c r="F3377" s="70" t="str">
        <f>CHAR(65+(COUNTIF(C$3375:C3376,"Show")/2))&amp;"."</f>
        <v>B.</v>
      </c>
      <c r="G3377" s="109" t="s">
        <v>3458</v>
      </c>
    </row>
    <row r="3378" spans="2:9" hidden="1" outlineLevel="1">
      <c r="B3378" s="76"/>
      <c r="C3378" s="9" t="str">
        <f>C3377</f>
        <v>Show</v>
      </c>
      <c r="D3378" s="23"/>
      <c r="E3378" s="13"/>
      <c r="F3378" s="70"/>
      <c r="G3378" s="78" t="s">
        <v>121</v>
      </c>
      <c r="H3378" s="75" t="s">
        <v>2806</v>
      </c>
    </row>
    <row r="3379" spans="2:9" hidden="1" outlineLevel="1">
      <c r="B3379" s="76"/>
      <c r="C3379" s="9" t="str">
        <f>C3370</f>
        <v>Show</v>
      </c>
      <c r="D3379" s="23" t="s">
        <v>613</v>
      </c>
      <c r="E3379" s="13"/>
      <c r="G3379" s="13"/>
    </row>
    <row r="3380" spans="2:9" hidden="1" outlineLevel="1">
      <c r="B3380" s="76"/>
      <c r="C3380" s="9" t="str">
        <f>C3370</f>
        <v>Show</v>
      </c>
      <c r="D3380" s="23"/>
      <c r="E3380" s="12" t="str">
        <f>IF(COUNTIF(C3381:C3382,"Show")&gt;0,"2.1 Product Requirements","No EGC Requirements")</f>
        <v>2.1 Product Requirements</v>
      </c>
      <c r="G3380" s="13"/>
    </row>
    <row r="3381" spans="2:9" hidden="1" outlineLevel="1">
      <c r="B3381" s="76"/>
      <c r="C3381" t="str">
        <f>$E$5976</f>
        <v>Show</v>
      </c>
      <c r="D3381" s="23"/>
      <c r="E3381" s="12"/>
      <c r="F3381" s="70" t="s">
        <v>119</v>
      </c>
      <c r="G3381" s="12" t="s">
        <v>3450</v>
      </c>
    </row>
    <row r="3382" spans="2:9" hidden="1" outlineLevel="1">
      <c r="B3382" s="76"/>
      <c r="C3382" s="9" t="str">
        <f>C3381</f>
        <v>Show</v>
      </c>
      <c r="D3382" s="23"/>
      <c r="E3382" s="12"/>
      <c r="G3382" s="30" t="s">
        <v>121</v>
      </c>
      <c r="H3382" s="75" t="s">
        <v>2530</v>
      </c>
    </row>
    <row r="3383" spans="2:9" hidden="1" outlineLevel="1">
      <c r="B3383" s="76"/>
      <c r="C3383" t="str">
        <f>$E$5988</f>
        <v>Show</v>
      </c>
      <c r="D3383" s="23"/>
      <c r="E3383" s="12"/>
      <c r="F3383" s="70" t="str">
        <f>CHAR(65+(COUNTIF(C$3381:C3382,"Show")/2))&amp;"."</f>
        <v>B.</v>
      </c>
      <c r="G3383" s="109" t="s">
        <v>3458</v>
      </c>
    </row>
    <row r="3384" spans="2:9" hidden="1" outlineLevel="1">
      <c r="B3384" s="76"/>
      <c r="C3384" s="9" t="str">
        <f>C3383</f>
        <v>Show</v>
      </c>
      <c r="D3384" s="23"/>
      <c r="E3384" s="12"/>
      <c r="G3384" s="30" t="s">
        <v>121</v>
      </c>
      <c r="H3384" s="75" t="s">
        <v>2807</v>
      </c>
    </row>
    <row r="3385" spans="2:9" hidden="1" outlineLevel="1">
      <c r="B3385" s="76"/>
      <c r="C3385" s="9" t="str">
        <f>C3370</f>
        <v>Show</v>
      </c>
      <c r="D3385" s="23" t="s">
        <v>187</v>
      </c>
      <c r="E3385" s="13"/>
      <c r="G3385" s="13"/>
    </row>
    <row r="3386" spans="2:9" hidden="1" outlineLevel="1">
      <c r="B3386" s="76"/>
      <c r="C3386" s="9" t="str">
        <f>C3370</f>
        <v>Show</v>
      </c>
      <c r="D3386" s="23"/>
      <c r="E3386" s="12" t="str">
        <f>IF(COUNTIF(C3387:C3388,"Show")&gt;0,"3.1 Execution Requirements","No EGC Requirements")</f>
        <v>3.1 Execution Requirements</v>
      </c>
      <c r="G3386" s="13"/>
    </row>
    <row r="3387" spans="2:9" hidden="1" outlineLevel="1">
      <c r="B3387" s="76"/>
      <c r="C3387" t="str">
        <f>$F$5988</f>
        <v>Show</v>
      </c>
      <c r="D3387" s="23"/>
      <c r="E3387" s="13"/>
      <c r="F3387" s="70" t="s">
        <v>119</v>
      </c>
      <c r="G3387" s="109" t="s">
        <v>3458</v>
      </c>
    </row>
    <row r="3388" spans="2:9" ht="30" hidden="1" outlineLevel="1">
      <c r="B3388" s="76"/>
      <c r="C3388" s="9" t="str">
        <f>C3387</f>
        <v>Show</v>
      </c>
      <c r="D3388" s="23"/>
      <c r="E3388" s="13"/>
      <c r="G3388" s="78" t="s">
        <v>121</v>
      </c>
      <c r="H3388" s="75" t="s">
        <v>2805</v>
      </c>
    </row>
    <row r="3389" spans="2:9" hidden="1" outlineLevel="1">
      <c r="B3389" s="76"/>
      <c r="C3389" s="9" t="str">
        <f>C3370</f>
        <v>Show</v>
      </c>
    </row>
    <row r="3390" spans="2:9" collapsed="1">
      <c r="B3390" s="23"/>
      <c r="C3390" s="2" t="str">
        <f>C3391</f>
        <v>Show</v>
      </c>
      <c r="D3390" s="55" t="s">
        <v>289</v>
      </c>
      <c r="E3390" s="55"/>
      <c r="F3390" s="57" t="s">
        <v>290</v>
      </c>
      <c r="G3390" s="58"/>
      <c r="H3390" s="54"/>
      <c r="I3390" s="75"/>
    </row>
    <row r="3391" spans="2:9" hidden="1" outlineLevel="1">
      <c r="B3391" s="76"/>
      <c r="C3391" s="2" t="str">
        <f>IF((COUNTIF(C3395:C3397,"Show")+COUNTIF(C3400:C3401,"Show")+COUNTIF(C3404:C3405,"Show"))&gt;0,"Show","Hide")</f>
        <v>Show</v>
      </c>
      <c r="D3391" s="23" t="s">
        <v>117</v>
      </c>
      <c r="E3391" s="13"/>
      <c r="G3391" s="13"/>
    </row>
    <row r="3392" spans="2:9" hidden="1" outlineLevel="1">
      <c r="B3392" s="76"/>
      <c r="C3392" s="9" t="str">
        <f>C3391</f>
        <v>Show</v>
      </c>
      <c r="D3392" s="23"/>
      <c r="E3392" s="13">
        <v>1.1000000000000001</v>
      </c>
      <c r="F3392" s="11" t="s">
        <v>118</v>
      </c>
      <c r="G3392" s="13"/>
    </row>
    <row r="3393" spans="2:9" hidden="1" outlineLevel="1">
      <c r="B3393" s="76"/>
      <c r="C3393" s="9" t="str">
        <f>C3392</f>
        <v>Show</v>
      </c>
      <c r="D3393" s="23"/>
      <c r="E3393" s="13"/>
      <c r="F3393" s="70" t="s">
        <v>119</v>
      </c>
      <c r="G3393" s="18" t="s">
        <v>677</v>
      </c>
    </row>
    <row r="3394" spans="2:9" hidden="1" outlineLevel="1">
      <c r="B3394" s="76"/>
      <c r="C3394" s="9" t="str">
        <f>C3393</f>
        <v>Show</v>
      </c>
      <c r="D3394" s="23"/>
      <c r="E3394" s="13"/>
      <c r="F3394" s="70"/>
      <c r="G3394" s="78" t="s">
        <v>121</v>
      </c>
      <c r="H3394" s="79" t="s">
        <v>2301</v>
      </c>
    </row>
    <row r="3395" spans="2:9" hidden="1" outlineLevel="1">
      <c r="B3395" s="76"/>
      <c r="C3395" s="9" t="str">
        <f>IF(COUNTIF(C3396:C3397,"Show")&gt;0,"Show","Hide")</f>
        <v>Show</v>
      </c>
      <c r="D3395" s="23"/>
      <c r="E3395" s="13">
        <v>1.2</v>
      </c>
      <c r="F3395" s="71" t="s">
        <v>131</v>
      </c>
      <c r="G3395" s="78"/>
    </row>
    <row r="3396" spans="2:9" hidden="1" outlineLevel="1">
      <c r="B3396" s="76"/>
      <c r="C3396" t="str">
        <f>$D$5988</f>
        <v>Show</v>
      </c>
      <c r="D3396" s="23"/>
      <c r="E3396" s="13"/>
      <c r="F3396" s="70" t="s">
        <v>119</v>
      </c>
      <c r="G3396" s="109" t="s">
        <v>3458</v>
      </c>
    </row>
    <row r="3397" spans="2:9" hidden="1" outlineLevel="1">
      <c r="B3397" s="76"/>
      <c r="C3397" s="9" t="str">
        <f>C3396</f>
        <v>Show</v>
      </c>
      <c r="D3397" s="23"/>
      <c r="E3397" s="13"/>
      <c r="F3397" s="70"/>
      <c r="G3397" s="78" t="s">
        <v>121</v>
      </c>
      <c r="H3397" s="75" t="s">
        <v>2806</v>
      </c>
    </row>
    <row r="3398" spans="2:9" hidden="1" outlineLevel="1">
      <c r="B3398" s="76"/>
      <c r="C3398" s="9" t="str">
        <f>C3391</f>
        <v>Show</v>
      </c>
      <c r="D3398" s="23" t="s">
        <v>613</v>
      </c>
      <c r="E3398" s="13"/>
      <c r="G3398" s="13"/>
    </row>
    <row r="3399" spans="2:9" hidden="1" outlineLevel="1">
      <c r="B3399" s="76"/>
      <c r="C3399" s="9" t="str">
        <f>C3391</f>
        <v>Show</v>
      </c>
      <c r="D3399" s="23"/>
      <c r="E3399" s="12" t="str">
        <f>IF(COUNTIF(C3400:C3401,"Show")&gt;0,"2.1 Product Requirements","No EGC Requirements")</f>
        <v>2.1 Product Requirements</v>
      </c>
      <c r="G3399" s="13"/>
    </row>
    <row r="3400" spans="2:9" hidden="1" outlineLevel="1">
      <c r="B3400" s="76"/>
      <c r="C3400" t="str">
        <f>$E$5988</f>
        <v>Show</v>
      </c>
      <c r="D3400" s="23"/>
      <c r="E3400" s="12"/>
      <c r="F3400" s="70" t="s">
        <v>119</v>
      </c>
      <c r="G3400" s="109" t="s">
        <v>3458</v>
      </c>
    </row>
    <row r="3401" spans="2:9" hidden="1" outlineLevel="1">
      <c r="B3401" s="76"/>
      <c r="C3401" s="9" t="str">
        <f>C3400</f>
        <v>Show</v>
      </c>
      <c r="D3401" s="23"/>
      <c r="E3401" s="12"/>
      <c r="G3401" s="30" t="s">
        <v>121</v>
      </c>
      <c r="H3401" s="75" t="s">
        <v>2807</v>
      </c>
    </row>
    <row r="3402" spans="2:9" hidden="1" outlineLevel="1">
      <c r="B3402" s="76"/>
      <c r="C3402" s="9" t="str">
        <f>C3391</f>
        <v>Show</v>
      </c>
      <c r="D3402" s="23" t="s">
        <v>187</v>
      </c>
      <c r="E3402" s="13"/>
      <c r="G3402" s="13"/>
    </row>
    <row r="3403" spans="2:9" hidden="1" outlineLevel="1">
      <c r="B3403" s="76"/>
      <c r="C3403" s="9" t="str">
        <f>C3391</f>
        <v>Show</v>
      </c>
      <c r="D3403" s="23"/>
      <c r="E3403" s="12" t="str">
        <f>IF(COUNTIF(C3404:C3405,"Show")&gt;0,"3.1 Execution Requirements","No EGC Requirements")</f>
        <v>3.1 Execution Requirements</v>
      </c>
      <c r="G3403" s="13"/>
    </row>
    <row r="3404" spans="2:9" hidden="1" outlineLevel="1">
      <c r="B3404" s="76"/>
      <c r="C3404" t="str">
        <f>$F$5988</f>
        <v>Show</v>
      </c>
      <c r="D3404" s="23"/>
      <c r="E3404" s="13"/>
      <c r="F3404" s="70" t="s">
        <v>119</v>
      </c>
      <c r="G3404" s="109" t="s">
        <v>3458</v>
      </c>
    </row>
    <row r="3405" spans="2:9" ht="30" hidden="1" outlineLevel="1">
      <c r="B3405" s="76"/>
      <c r="C3405" s="9" t="str">
        <f>C3404</f>
        <v>Show</v>
      </c>
      <c r="D3405" s="23"/>
      <c r="E3405" s="13"/>
      <c r="G3405" s="78" t="s">
        <v>121</v>
      </c>
      <c r="H3405" s="75" t="s">
        <v>2805</v>
      </c>
    </row>
    <row r="3406" spans="2:9" hidden="1" outlineLevel="1">
      <c r="B3406" s="76"/>
      <c r="C3406" s="9" t="str">
        <f>C3391</f>
        <v>Show</v>
      </c>
    </row>
    <row r="3407" spans="2:9" collapsed="1">
      <c r="B3407" s="23"/>
      <c r="C3407" s="2" t="str">
        <f>C3408</f>
        <v>Show</v>
      </c>
      <c r="D3407" s="55" t="s">
        <v>291</v>
      </c>
      <c r="E3407" s="55"/>
      <c r="F3407" s="57" t="s">
        <v>292</v>
      </c>
      <c r="G3407" s="58"/>
      <c r="H3407" s="54"/>
      <c r="I3407" s="75"/>
    </row>
    <row r="3408" spans="2:9" hidden="1" outlineLevel="1">
      <c r="B3408" s="76"/>
      <c r="C3408" s="2" t="str">
        <f>IF((COUNTIF(C3412:C3418,"Show")+COUNTIF(C3421:C3428,"Show")+COUNTIF(C3431:C3436,"Show"))&gt;0,"Show","Hide")</f>
        <v>Show</v>
      </c>
      <c r="D3408" s="23" t="s">
        <v>117</v>
      </c>
      <c r="E3408" s="13"/>
      <c r="G3408" s="13"/>
    </row>
    <row r="3409" spans="2:8" hidden="1" outlineLevel="1">
      <c r="B3409" s="76"/>
      <c r="C3409" s="9" t="str">
        <f>C3408</f>
        <v>Show</v>
      </c>
      <c r="D3409" s="23"/>
      <c r="E3409" s="13">
        <v>1.1000000000000001</v>
      </c>
      <c r="F3409" s="11" t="s">
        <v>118</v>
      </c>
      <c r="G3409" s="13"/>
    </row>
    <row r="3410" spans="2:8" hidden="1" outlineLevel="1">
      <c r="B3410" s="76"/>
      <c r="C3410" s="9" t="str">
        <f>C3409</f>
        <v>Show</v>
      </c>
      <c r="D3410" s="23"/>
      <c r="E3410" s="13"/>
      <c r="F3410" s="70" t="s">
        <v>119</v>
      </c>
      <c r="G3410" s="18" t="s">
        <v>677</v>
      </c>
    </row>
    <row r="3411" spans="2:8" hidden="1" outlineLevel="1">
      <c r="B3411" s="76"/>
      <c r="C3411" s="9" t="str">
        <f>C3410</f>
        <v>Show</v>
      </c>
      <c r="D3411" s="23"/>
      <c r="E3411" s="13"/>
      <c r="F3411" s="70"/>
      <c r="G3411" s="78" t="s">
        <v>121</v>
      </c>
      <c r="H3411" s="79" t="s">
        <v>2301</v>
      </c>
    </row>
    <row r="3412" spans="2:8" hidden="1" outlineLevel="1">
      <c r="B3412" s="76"/>
      <c r="C3412" s="9" t="str">
        <f>IF(COUNTIF(C3413:C3414,"Show")&gt;0,"Show","Hide")</f>
        <v>Show</v>
      </c>
      <c r="D3412" s="23"/>
      <c r="E3412" s="13">
        <v>1.2</v>
      </c>
      <c r="F3412" s="71" t="s">
        <v>131</v>
      </c>
      <c r="G3412" s="78"/>
    </row>
    <row r="3413" spans="2:8" hidden="1" outlineLevel="1">
      <c r="B3413" s="76"/>
      <c r="C3413" t="str">
        <f>$D$5976</f>
        <v>Show</v>
      </c>
      <c r="D3413" s="23"/>
      <c r="E3413" s="13"/>
      <c r="F3413" s="70" t="s">
        <v>119</v>
      </c>
      <c r="G3413" s="12" t="s">
        <v>3450</v>
      </c>
    </row>
    <row r="3414" spans="2:8" hidden="1" outlineLevel="1">
      <c r="B3414" s="76"/>
      <c r="C3414" s="9" t="str">
        <f>C3413</f>
        <v>Show</v>
      </c>
      <c r="D3414" s="23"/>
      <c r="E3414" s="13"/>
      <c r="F3414" s="70"/>
      <c r="G3414" s="78" t="s">
        <v>121</v>
      </c>
      <c r="H3414" s="75" t="s">
        <v>2529</v>
      </c>
    </row>
    <row r="3415" spans="2:8" hidden="1" outlineLevel="1">
      <c r="B3415" s="76"/>
      <c r="C3415" t="str">
        <f>$D$5988</f>
        <v>Show</v>
      </c>
      <c r="D3415" s="23"/>
      <c r="E3415" s="13"/>
      <c r="F3415" s="70" t="str">
        <f>CHAR(65+(COUNTIF(C$3413:C3414,"Show")/2))&amp;"."</f>
        <v>B.</v>
      </c>
      <c r="G3415" s="109" t="s">
        <v>3458</v>
      </c>
    </row>
    <row r="3416" spans="2:8" hidden="1" outlineLevel="1">
      <c r="B3416" s="76"/>
      <c r="C3416" s="9" t="str">
        <f>C3415</f>
        <v>Show</v>
      </c>
      <c r="D3416" s="23"/>
      <c r="E3416" s="13"/>
      <c r="F3416" s="70"/>
      <c r="G3416" s="78" t="s">
        <v>121</v>
      </c>
      <c r="H3416" s="75" t="s">
        <v>2806</v>
      </c>
    </row>
    <row r="3417" spans="2:8" hidden="1" outlineLevel="1">
      <c r="B3417" s="76"/>
      <c r="C3417" t="str">
        <f>$D$5994</f>
        <v>Show</v>
      </c>
      <c r="D3417" s="23"/>
      <c r="E3417" s="13"/>
      <c r="F3417" s="70" t="str">
        <f>CHAR(65+(COUNTIF(C$3413:C3416,"Show")/2))&amp;"."</f>
        <v>C.</v>
      </c>
      <c r="G3417" s="109" t="s">
        <v>3459</v>
      </c>
    </row>
    <row r="3418" spans="2:8" hidden="1" outlineLevel="1">
      <c r="B3418" s="76"/>
      <c r="C3418" s="9" t="str">
        <f>C3417</f>
        <v>Show</v>
      </c>
      <c r="D3418" s="23"/>
      <c r="E3418" s="13"/>
      <c r="F3418" s="70"/>
      <c r="G3418" s="78" t="s">
        <v>121</v>
      </c>
      <c r="H3418" s="75" t="s">
        <v>2810</v>
      </c>
    </row>
    <row r="3419" spans="2:8" hidden="1" outlineLevel="1">
      <c r="B3419" s="76"/>
      <c r="C3419" s="9" t="str">
        <f>C3408</f>
        <v>Show</v>
      </c>
      <c r="D3419" s="23" t="s">
        <v>613</v>
      </c>
      <c r="E3419" s="13"/>
      <c r="G3419" s="13"/>
    </row>
    <row r="3420" spans="2:8" hidden="1" outlineLevel="1">
      <c r="B3420" s="76"/>
      <c r="C3420" s="9" t="str">
        <f>C3408</f>
        <v>Show</v>
      </c>
      <c r="D3420" s="23"/>
      <c r="E3420" s="12" t="str">
        <f>IF(COUNTIF(C3421:C3428,"Show")&gt;0,"2.1 Product Requirements","No EGC Requirements")</f>
        <v>2.1 Product Requirements</v>
      </c>
      <c r="G3420" s="13"/>
    </row>
    <row r="3421" spans="2:8" hidden="1" outlineLevel="1">
      <c r="B3421" s="76"/>
      <c r="C3421" t="str">
        <f>$E$5973</f>
        <v>Show</v>
      </c>
      <c r="D3421" s="23"/>
      <c r="E3421" s="12"/>
      <c r="F3421" s="70" t="s">
        <v>119</v>
      </c>
      <c r="G3421" s="12" t="s">
        <v>3431</v>
      </c>
    </row>
    <row r="3422" spans="2:8" hidden="1" outlineLevel="1">
      <c r="B3422" s="76"/>
      <c r="C3422" s="9" t="str">
        <f>C3421</f>
        <v>Show</v>
      </c>
      <c r="D3422" s="23"/>
      <c r="E3422" s="12"/>
      <c r="G3422" s="30" t="s">
        <v>121</v>
      </c>
      <c r="H3422" s="75" t="s">
        <v>2408</v>
      </c>
    </row>
    <row r="3423" spans="2:8" hidden="1" outlineLevel="1">
      <c r="B3423" s="76"/>
      <c r="C3423" t="str">
        <f>$E$5976</f>
        <v>Show</v>
      </c>
      <c r="D3423" s="23"/>
      <c r="E3423" s="12"/>
      <c r="F3423" s="70" t="str">
        <f>CHAR(65+(COUNTIF(C$3421:C3422,"Show")/2))&amp;"."</f>
        <v>B.</v>
      </c>
      <c r="G3423" s="12" t="s">
        <v>3450</v>
      </c>
    </row>
    <row r="3424" spans="2:8" hidden="1" outlineLevel="1">
      <c r="B3424" s="76"/>
      <c r="C3424" s="9" t="str">
        <f>C3423</f>
        <v>Show</v>
      </c>
      <c r="D3424" s="23"/>
      <c r="E3424" s="12"/>
      <c r="G3424" s="30" t="s">
        <v>121</v>
      </c>
      <c r="H3424" s="75" t="s">
        <v>2530</v>
      </c>
    </row>
    <row r="3425" spans="2:9" hidden="1" outlineLevel="1">
      <c r="B3425" s="76"/>
      <c r="C3425" t="str">
        <f>$E$5988</f>
        <v>Show</v>
      </c>
      <c r="D3425" s="23"/>
      <c r="E3425" s="12"/>
      <c r="F3425" s="70" t="str">
        <f>CHAR(65+(COUNTIF(C$3421:C3424,"Show")/2))&amp;"."</f>
        <v>C.</v>
      </c>
      <c r="G3425" s="109" t="s">
        <v>3458</v>
      </c>
    </row>
    <row r="3426" spans="2:9" hidden="1" outlineLevel="1">
      <c r="B3426" s="76"/>
      <c r="C3426" s="9" t="str">
        <f>C3425</f>
        <v>Show</v>
      </c>
      <c r="D3426" s="23"/>
      <c r="E3426" s="12"/>
      <c r="G3426" s="30" t="s">
        <v>121</v>
      </c>
      <c r="H3426" s="75" t="s">
        <v>2807</v>
      </c>
    </row>
    <row r="3427" spans="2:9" hidden="1" outlineLevel="1">
      <c r="B3427" s="76"/>
      <c r="C3427" t="str">
        <f>$E$5994</f>
        <v>Show</v>
      </c>
      <c r="D3427" s="23"/>
      <c r="E3427" s="12"/>
      <c r="F3427" s="70" t="str">
        <f>CHAR(65+(COUNTIF(C$3421:C3426,"Show")/2))&amp;"."</f>
        <v>D.</v>
      </c>
      <c r="G3427" s="109" t="s">
        <v>3459</v>
      </c>
    </row>
    <row r="3428" spans="2:9" hidden="1" outlineLevel="1">
      <c r="B3428" s="76"/>
      <c r="C3428" s="9" t="str">
        <f>C3427</f>
        <v>Show</v>
      </c>
      <c r="D3428" s="23"/>
      <c r="E3428" s="12"/>
      <c r="G3428" s="30" t="s">
        <v>121</v>
      </c>
      <c r="H3428" s="75" t="s">
        <v>2809</v>
      </c>
    </row>
    <row r="3429" spans="2:9" hidden="1" outlineLevel="1">
      <c r="B3429" s="76"/>
      <c r="C3429" s="9" t="str">
        <f>C3408</f>
        <v>Show</v>
      </c>
      <c r="D3429" s="23" t="s">
        <v>187</v>
      </c>
      <c r="E3429" s="13"/>
      <c r="G3429" s="13"/>
    </row>
    <row r="3430" spans="2:9" hidden="1" outlineLevel="1">
      <c r="B3430" s="76"/>
      <c r="C3430" s="9" t="str">
        <f>C3408</f>
        <v>Show</v>
      </c>
      <c r="D3430" s="23"/>
      <c r="E3430" s="12" t="str">
        <f>IF(COUNTIF(C3431:C3436,"Show")&gt;0,"3.1 Execution Requirements","No EGC Requirements")</f>
        <v>3.1 Execution Requirements</v>
      </c>
      <c r="G3430" s="13"/>
    </row>
    <row r="3431" spans="2:9" hidden="1" outlineLevel="1">
      <c r="B3431" s="76"/>
      <c r="C3431" t="str">
        <f>$F$5976</f>
        <v>Show</v>
      </c>
      <c r="D3431" s="23"/>
      <c r="E3431" s="12"/>
      <c r="F3431" s="70" t="s">
        <v>119</v>
      </c>
      <c r="G3431" s="12" t="s">
        <v>3450</v>
      </c>
    </row>
    <row r="3432" spans="2:9" hidden="1" outlineLevel="1">
      <c r="B3432" s="76"/>
      <c r="C3432" s="9" t="str">
        <f>C3431</f>
        <v>Show</v>
      </c>
      <c r="D3432" s="23"/>
      <c r="E3432" s="12"/>
      <c r="G3432" s="78" t="s">
        <v>121</v>
      </c>
      <c r="H3432" s="75" t="s">
        <v>2766</v>
      </c>
    </row>
    <row r="3433" spans="2:9" hidden="1" outlineLevel="1">
      <c r="B3433" s="76"/>
      <c r="C3433" t="str">
        <f>$F$5988</f>
        <v>Show</v>
      </c>
      <c r="D3433" s="23"/>
      <c r="E3433" s="13"/>
      <c r="F3433" s="70" t="str">
        <f>CHAR(65+(COUNTIF(C$3431:C3432,"Show")/2))&amp;"."</f>
        <v>B.</v>
      </c>
      <c r="G3433" s="109" t="s">
        <v>3458</v>
      </c>
    </row>
    <row r="3434" spans="2:9" ht="30" hidden="1" outlineLevel="1">
      <c r="B3434" s="76"/>
      <c r="C3434" s="9" t="str">
        <f>C3433</f>
        <v>Show</v>
      </c>
      <c r="D3434" s="23"/>
      <c r="E3434" s="13"/>
      <c r="G3434" s="78" t="s">
        <v>121</v>
      </c>
      <c r="H3434" s="75" t="s">
        <v>2805</v>
      </c>
    </row>
    <row r="3435" spans="2:9" hidden="1" outlineLevel="1">
      <c r="B3435" s="76"/>
      <c r="C3435" t="str">
        <f>$F$5994</f>
        <v>Show</v>
      </c>
      <c r="D3435" s="23"/>
      <c r="E3435" s="13"/>
      <c r="F3435" s="70" t="str">
        <f>CHAR(65+(COUNTIF(C$3431:C3434,"Show")/2))&amp;"."</f>
        <v>C.</v>
      </c>
      <c r="G3435" s="109" t="s">
        <v>3459</v>
      </c>
    </row>
    <row r="3436" spans="2:9" ht="30" hidden="1" outlineLevel="1">
      <c r="B3436" s="76"/>
      <c r="C3436" s="9" t="str">
        <f>C3435</f>
        <v>Show</v>
      </c>
      <c r="D3436" s="23"/>
      <c r="E3436" s="13"/>
      <c r="G3436" s="78" t="s">
        <v>121</v>
      </c>
      <c r="H3436" s="75" t="s">
        <v>2808</v>
      </c>
    </row>
    <row r="3437" spans="2:9" hidden="1" outlineLevel="1">
      <c r="B3437" s="76"/>
      <c r="C3437" s="9" t="str">
        <f>C3408</f>
        <v>Show</v>
      </c>
    </row>
    <row r="3438" spans="2:9" collapsed="1">
      <c r="B3438" s="23"/>
      <c r="C3438" s="2" t="str">
        <f>C3439</f>
        <v>Show</v>
      </c>
      <c r="D3438" s="55" t="s">
        <v>293</v>
      </c>
      <c r="E3438" s="55"/>
      <c r="F3438" s="57" t="s">
        <v>571</v>
      </c>
      <c r="G3438" s="58"/>
      <c r="H3438" s="54"/>
      <c r="I3438" s="75"/>
    </row>
    <row r="3439" spans="2:9" hidden="1" outlineLevel="1">
      <c r="B3439" s="76"/>
      <c r="C3439" s="2" t="str">
        <f>IF((COUNTIF(C3443:C3457,"Show")+COUNTIF(C3460:C3475,"Show")+COUNTIF(C3478:C3491,"Show"))&gt;0,"Show","Hide")</f>
        <v>Show</v>
      </c>
      <c r="D3439" s="23" t="s">
        <v>117</v>
      </c>
      <c r="E3439" s="13"/>
      <c r="G3439" s="13"/>
    </row>
    <row r="3440" spans="2:9" hidden="1" outlineLevel="1">
      <c r="B3440" s="76"/>
      <c r="C3440" s="9" t="str">
        <f>C3439</f>
        <v>Show</v>
      </c>
      <c r="D3440" s="23"/>
      <c r="E3440" s="13">
        <v>1.1000000000000001</v>
      </c>
      <c r="F3440" s="11" t="s">
        <v>118</v>
      </c>
      <c r="G3440" s="13"/>
    </row>
    <row r="3441" spans="2:8" hidden="1" outlineLevel="1">
      <c r="B3441" s="76"/>
      <c r="C3441" s="9" t="str">
        <f>C3440</f>
        <v>Show</v>
      </c>
      <c r="D3441" s="23"/>
      <c r="E3441" s="13"/>
      <c r="F3441" s="70" t="s">
        <v>119</v>
      </c>
      <c r="G3441" s="18" t="s">
        <v>677</v>
      </c>
    </row>
    <row r="3442" spans="2:8" hidden="1" outlineLevel="1">
      <c r="B3442" s="76"/>
      <c r="C3442" s="9" t="str">
        <f>C3441</f>
        <v>Show</v>
      </c>
      <c r="D3442" s="23"/>
      <c r="E3442" s="13"/>
      <c r="F3442" s="70"/>
      <c r="G3442" s="78" t="s">
        <v>121</v>
      </c>
      <c r="H3442" s="79" t="s">
        <v>2301</v>
      </c>
    </row>
    <row r="3443" spans="2:8" hidden="1" outlineLevel="1">
      <c r="B3443" s="76"/>
      <c r="C3443" s="9" t="str">
        <f>IF(COUNTIF(C3444:C3457,"Show")&gt;0,"Show","Hide")</f>
        <v>Show</v>
      </c>
      <c r="D3443" s="23"/>
      <c r="E3443" s="13">
        <v>1.2</v>
      </c>
      <c r="F3443" s="71" t="s">
        <v>131</v>
      </c>
      <c r="G3443" s="78"/>
    </row>
    <row r="3444" spans="2:8" hidden="1" outlineLevel="1">
      <c r="B3444" s="76"/>
      <c r="C3444" t="str">
        <f>$D$5974</f>
        <v>Show</v>
      </c>
      <c r="D3444" s="23"/>
      <c r="E3444" s="13"/>
      <c r="F3444" s="70" t="s">
        <v>119</v>
      </c>
      <c r="G3444" s="12" t="s">
        <v>3407</v>
      </c>
    </row>
    <row r="3445" spans="2:8" hidden="1" outlineLevel="1">
      <c r="B3445" s="76"/>
      <c r="C3445" s="9" t="str">
        <f>C3444</f>
        <v>Show</v>
      </c>
      <c r="D3445" s="23"/>
      <c r="E3445" s="13"/>
      <c r="F3445" s="71"/>
      <c r="G3445" s="78" t="s">
        <v>121</v>
      </c>
      <c r="H3445" s="75" t="s">
        <v>2323</v>
      </c>
    </row>
    <row r="3446" spans="2:8" hidden="1" outlineLevel="1">
      <c r="B3446" s="76"/>
      <c r="C3446" t="str">
        <f>$D$5976</f>
        <v>Show</v>
      </c>
      <c r="D3446" s="23"/>
      <c r="E3446" s="13"/>
      <c r="F3446" s="70" t="str">
        <f>CHAR(65+(COUNTIF(C$3444:C3445,"Show")/2))&amp;"."</f>
        <v>B.</v>
      </c>
      <c r="G3446" s="12" t="s">
        <v>3450</v>
      </c>
    </row>
    <row r="3447" spans="2:8" hidden="1" outlineLevel="1">
      <c r="B3447" s="76"/>
      <c r="C3447" s="9" t="str">
        <f>C3446</f>
        <v>Show</v>
      </c>
      <c r="D3447" s="23"/>
      <c r="E3447" s="13"/>
      <c r="F3447" s="70"/>
      <c r="G3447" s="78" t="s">
        <v>121</v>
      </c>
      <c r="H3447" s="75" t="s">
        <v>2529</v>
      </c>
    </row>
    <row r="3448" spans="2:8" hidden="1" outlineLevel="1">
      <c r="B3448" s="76"/>
      <c r="C3448" t="str">
        <f>$D$5988</f>
        <v>Show</v>
      </c>
      <c r="D3448" s="23"/>
      <c r="E3448" s="13"/>
      <c r="F3448" s="70" t="str">
        <f>CHAR(65+(COUNTIF(C$3444:C3447,"Show")/2))&amp;"."</f>
        <v>C.</v>
      </c>
      <c r="G3448" s="109" t="s">
        <v>3458</v>
      </c>
    </row>
    <row r="3449" spans="2:8" hidden="1" outlineLevel="1">
      <c r="B3449" s="76"/>
      <c r="C3449" s="9" t="str">
        <f>C3448</f>
        <v>Show</v>
      </c>
      <c r="D3449" s="23"/>
      <c r="E3449" s="13"/>
      <c r="F3449" s="70"/>
      <c r="G3449" s="78" t="s">
        <v>121</v>
      </c>
      <c r="H3449" s="75" t="s">
        <v>2806</v>
      </c>
    </row>
    <row r="3450" spans="2:8" hidden="1" outlineLevel="1">
      <c r="B3450" s="76"/>
      <c r="C3450" t="str">
        <f>$D$5993</f>
        <v>Show</v>
      </c>
      <c r="D3450" s="23"/>
      <c r="E3450" s="13"/>
      <c r="F3450" s="70" t="str">
        <f>CHAR(65+(COUNTIF(C$3444:C3449,"Show")/2))&amp;"."</f>
        <v>D.</v>
      </c>
      <c r="G3450" s="109" t="s">
        <v>3453</v>
      </c>
    </row>
    <row r="3451" spans="2:8" hidden="1" outlineLevel="1">
      <c r="B3451" s="76"/>
      <c r="C3451" s="9" t="str">
        <f>C3450</f>
        <v>Show</v>
      </c>
      <c r="D3451" s="23"/>
      <c r="E3451" s="13"/>
      <c r="F3451" s="70"/>
      <c r="G3451" s="78" t="s">
        <v>121</v>
      </c>
      <c r="H3451" s="75" t="s">
        <v>2799</v>
      </c>
    </row>
    <row r="3452" spans="2:8" hidden="1" outlineLevel="1">
      <c r="B3452" s="76"/>
      <c r="C3452" t="str">
        <f>$D$5994</f>
        <v>Show</v>
      </c>
      <c r="D3452" s="23"/>
      <c r="E3452" s="13"/>
      <c r="F3452" s="70" t="str">
        <f>CHAR(65+(COUNTIF(C$3444:C3449,"Show")/2))&amp;"."</f>
        <v>D.</v>
      </c>
      <c r="G3452" s="109" t="s">
        <v>3459</v>
      </c>
    </row>
    <row r="3453" spans="2:8" hidden="1" outlineLevel="1">
      <c r="B3453" s="76"/>
      <c r="C3453" s="9" t="str">
        <f>C3452</f>
        <v>Show</v>
      </c>
      <c r="D3453" s="23"/>
      <c r="E3453" s="13"/>
      <c r="F3453" s="70"/>
      <c r="G3453" s="78" t="s">
        <v>121</v>
      </c>
      <c r="H3453" s="75" t="s">
        <v>2810</v>
      </c>
    </row>
    <row r="3454" spans="2:8" hidden="1" outlineLevel="1">
      <c r="B3454" s="76"/>
      <c r="C3454" t="str">
        <f>$D$5995</f>
        <v>Show</v>
      </c>
      <c r="D3454" s="23"/>
      <c r="E3454" s="13"/>
      <c r="F3454" s="70" t="str">
        <f>CHAR(65+(COUNTIF(C$3444:C3453,"Show")/2))&amp;"."</f>
        <v>F.</v>
      </c>
      <c r="G3454" s="109" t="s">
        <v>3460</v>
      </c>
    </row>
    <row r="3455" spans="2:8" hidden="1" outlineLevel="1">
      <c r="B3455" s="76"/>
      <c r="C3455" s="9" t="str">
        <f>C3454</f>
        <v>Show</v>
      </c>
      <c r="D3455" s="23"/>
      <c r="E3455" s="13"/>
      <c r="F3455" s="70"/>
      <c r="G3455" s="78" t="s">
        <v>121</v>
      </c>
      <c r="H3455" s="75" t="s">
        <v>2811</v>
      </c>
    </row>
    <row r="3456" spans="2:8" hidden="1" outlineLevel="1">
      <c r="B3456" s="76"/>
      <c r="C3456" t="str">
        <f>$D$5996</f>
        <v>Show</v>
      </c>
      <c r="D3456" s="23"/>
      <c r="E3456" s="13"/>
      <c r="F3456" s="70" t="str">
        <f>CHAR(65+(COUNTIF(C$3444:C3455,"Show")/2))&amp;"."</f>
        <v>G.</v>
      </c>
      <c r="G3456" s="109" t="s">
        <v>3457</v>
      </c>
    </row>
    <row r="3457" spans="2:8" hidden="1" outlineLevel="1">
      <c r="B3457" s="76"/>
      <c r="C3457" s="9" t="str">
        <f>C3456</f>
        <v>Show</v>
      </c>
      <c r="D3457" s="23"/>
      <c r="E3457" s="13"/>
      <c r="F3457" s="70"/>
      <c r="G3457" s="78" t="s">
        <v>121</v>
      </c>
      <c r="H3457" s="75" t="s">
        <v>2804</v>
      </c>
    </row>
    <row r="3458" spans="2:8" hidden="1" outlineLevel="1">
      <c r="B3458" s="76"/>
      <c r="C3458" s="9" t="str">
        <f>C3439</f>
        <v>Show</v>
      </c>
      <c r="D3458" s="23" t="s">
        <v>613</v>
      </c>
      <c r="E3458" s="13"/>
      <c r="G3458" s="13"/>
    </row>
    <row r="3459" spans="2:8" hidden="1" outlineLevel="1">
      <c r="B3459" s="76"/>
      <c r="C3459" s="9" t="str">
        <f>C3439</f>
        <v>Show</v>
      </c>
      <c r="D3459" s="23"/>
      <c r="E3459" s="12" t="str">
        <f>IF(COUNTIF(C3460:C3475,"Show")&gt;0,"2.1 Product Requirements","No EGC Requirements")</f>
        <v>2.1 Product Requirements</v>
      </c>
      <c r="G3459" s="13"/>
    </row>
    <row r="3460" spans="2:8" hidden="1" outlineLevel="1">
      <c r="B3460" s="76"/>
      <c r="C3460" t="str">
        <f>$E$5973</f>
        <v>Show</v>
      </c>
      <c r="D3460" s="23"/>
      <c r="E3460" s="12"/>
      <c r="F3460" s="70" t="s">
        <v>119</v>
      </c>
      <c r="G3460" s="12" t="s">
        <v>3431</v>
      </c>
    </row>
    <row r="3461" spans="2:8" hidden="1" outlineLevel="1">
      <c r="B3461" s="76"/>
      <c r="C3461" s="9" t="str">
        <f>C3460</f>
        <v>Show</v>
      </c>
      <c r="D3461" s="23"/>
      <c r="E3461" s="12"/>
      <c r="G3461" s="30" t="s">
        <v>121</v>
      </c>
      <c r="H3461" s="75" t="s">
        <v>2408</v>
      </c>
    </row>
    <row r="3462" spans="2:8" hidden="1" outlineLevel="1">
      <c r="B3462" s="76"/>
      <c r="C3462" t="str">
        <f>$E$5974</f>
        <v>Show</v>
      </c>
      <c r="D3462" s="23"/>
      <c r="E3462" s="12"/>
      <c r="F3462" s="70" t="str">
        <f>CHAR(65+(COUNTIF(C$3460:C3461,"Show")/2))&amp;"."</f>
        <v>B.</v>
      </c>
      <c r="G3462" s="12" t="s">
        <v>3407</v>
      </c>
    </row>
    <row r="3463" spans="2:8" hidden="1" outlineLevel="1">
      <c r="B3463" s="76"/>
      <c r="C3463" s="9" t="str">
        <f>C3462</f>
        <v>Show</v>
      </c>
      <c r="D3463" s="23"/>
      <c r="E3463" s="12"/>
      <c r="G3463" s="78" t="s">
        <v>121</v>
      </c>
      <c r="H3463" s="75" t="s">
        <v>2698</v>
      </c>
    </row>
    <row r="3464" spans="2:8" hidden="1" outlineLevel="1">
      <c r="B3464" s="76"/>
      <c r="C3464" t="str">
        <f>$E$5976</f>
        <v>Show</v>
      </c>
      <c r="D3464" s="23"/>
      <c r="E3464" s="12"/>
      <c r="F3464" s="70" t="str">
        <f>CHAR(65+(COUNTIF(C$3460:C3463,"Show")/2))&amp;"."</f>
        <v>C.</v>
      </c>
      <c r="G3464" s="12" t="s">
        <v>3450</v>
      </c>
    </row>
    <row r="3465" spans="2:8" hidden="1" outlineLevel="1">
      <c r="B3465" s="76"/>
      <c r="C3465" s="9" t="str">
        <f>C3464</f>
        <v>Show</v>
      </c>
      <c r="D3465" s="23"/>
      <c r="E3465" s="12"/>
      <c r="G3465" s="30" t="s">
        <v>121</v>
      </c>
      <c r="H3465" s="75" t="s">
        <v>2530</v>
      </c>
    </row>
    <row r="3466" spans="2:8" hidden="1" outlineLevel="1">
      <c r="B3466" s="76"/>
      <c r="C3466" t="str">
        <f>$E$5988</f>
        <v>Show</v>
      </c>
      <c r="D3466" s="23"/>
      <c r="E3466" s="12"/>
      <c r="F3466" s="70" t="str">
        <f>CHAR(65+(COUNTIF(C$3460:C3465,"Show")/2))&amp;"."</f>
        <v>D.</v>
      </c>
      <c r="G3466" s="109" t="s">
        <v>3458</v>
      </c>
    </row>
    <row r="3467" spans="2:8" hidden="1" outlineLevel="1">
      <c r="B3467" s="76"/>
      <c r="C3467" s="9" t="str">
        <f>C3466</f>
        <v>Show</v>
      </c>
      <c r="D3467" s="23"/>
      <c r="E3467" s="12"/>
      <c r="G3467" s="30" t="s">
        <v>121</v>
      </c>
      <c r="H3467" s="75" t="s">
        <v>2807</v>
      </c>
    </row>
    <row r="3468" spans="2:8" hidden="1" outlineLevel="1">
      <c r="B3468" s="76"/>
      <c r="C3468" t="str">
        <f>$E$5976</f>
        <v>Show</v>
      </c>
      <c r="D3468" s="23"/>
      <c r="E3468" s="12"/>
      <c r="F3468" s="70" t="str">
        <f>CHAR(65+(COUNTIF(C$3460:C3467,"Show")/2))&amp;"."</f>
        <v>E.</v>
      </c>
      <c r="G3468" s="109" t="s">
        <v>3453</v>
      </c>
    </row>
    <row r="3469" spans="2:8" hidden="1" outlineLevel="1">
      <c r="B3469" s="76"/>
      <c r="C3469" s="9" t="str">
        <f>C3468</f>
        <v>Show</v>
      </c>
      <c r="D3469" s="23"/>
      <c r="E3469" s="12"/>
      <c r="G3469" s="30" t="s">
        <v>121</v>
      </c>
      <c r="H3469" s="75" t="s">
        <v>2791</v>
      </c>
    </row>
    <row r="3470" spans="2:8" hidden="1" outlineLevel="1">
      <c r="B3470" s="76"/>
      <c r="C3470" t="str">
        <f>$E$5994</f>
        <v>Show</v>
      </c>
      <c r="D3470" s="23"/>
      <c r="E3470" s="12"/>
      <c r="F3470" s="70" t="str">
        <f>CHAR(65+(COUNTIF(C$3460:C3469,"Show")/2))&amp;"."</f>
        <v>F.</v>
      </c>
      <c r="G3470" s="109" t="s">
        <v>3459</v>
      </c>
    </row>
    <row r="3471" spans="2:8" hidden="1" outlineLevel="1">
      <c r="B3471" s="76"/>
      <c r="C3471" s="9" t="str">
        <f>C3470</f>
        <v>Show</v>
      </c>
      <c r="D3471" s="23"/>
      <c r="E3471" s="12"/>
      <c r="G3471" s="30" t="s">
        <v>121</v>
      </c>
      <c r="H3471" s="75" t="s">
        <v>2809</v>
      </c>
    </row>
    <row r="3472" spans="2:8" hidden="1" outlineLevel="1">
      <c r="B3472" s="76"/>
      <c r="C3472" t="str">
        <f>$E$5995</f>
        <v>Show</v>
      </c>
      <c r="D3472" s="23"/>
      <c r="E3472" s="12"/>
      <c r="F3472" s="70" t="str">
        <f>CHAR(65+(COUNTIF(C$3460:C3471,"Show")/2))&amp;"."</f>
        <v>G.</v>
      </c>
      <c r="G3472" s="109" t="s">
        <v>3460</v>
      </c>
    </row>
    <row r="3473" spans="2:8" hidden="1" outlineLevel="1">
      <c r="B3473" s="76"/>
      <c r="C3473" s="9" t="str">
        <f>C3472</f>
        <v>Show</v>
      </c>
      <c r="D3473" s="23"/>
      <c r="E3473" s="12"/>
      <c r="G3473" s="78" t="s">
        <v>121</v>
      </c>
      <c r="H3473" s="75" t="s">
        <v>2812</v>
      </c>
    </row>
    <row r="3474" spans="2:8" hidden="1" outlineLevel="1">
      <c r="B3474" s="76"/>
      <c r="C3474" t="str">
        <f>$E$5996</f>
        <v>Show</v>
      </c>
      <c r="D3474" s="23"/>
      <c r="E3474" s="12"/>
      <c r="F3474" s="70" t="str">
        <f>CHAR(65+(COUNTIF(C$3460:C3473,"Show")/2))&amp;"."</f>
        <v>H.</v>
      </c>
      <c r="G3474" s="109" t="s">
        <v>3457</v>
      </c>
    </row>
    <row r="3475" spans="2:8" hidden="1" outlineLevel="1">
      <c r="B3475" s="76"/>
      <c r="C3475" s="9" t="str">
        <f>C3474</f>
        <v>Show</v>
      </c>
      <c r="D3475" s="23"/>
      <c r="E3475" s="12"/>
      <c r="G3475" s="78" t="s">
        <v>121</v>
      </c>
      <c r="H3475" s="75" t="s">
        <v>2803</v>
      </c>
    </row>
    <row r="3476" spans="2:8" hidden="1" outlineLevel="1">
      <c r="B3476" s="76"/>
      <c r="C3476" s="9" t="str">
        <f>C3439</f>
        <v>Show</v>
      </c>
      <c r="D3476" s="23" t="s">
        <v>187</v>
      </c>
      <c r="E3476" s="13"/>
      <c r="G3476" s="13"/>
    </row>
    <row r="3477" spans="2:8" hidden="1" outlineLevel="1">
      <c r="B3477" s="76"/>
      <c r="C3477" s="9" t="str">
        <f>C3439</f>
        <v>Show</v>
      </c>
      <c r="D3477" s="23"/>
      <c r="E3477" s="12" t="str">
        <f>IF(COUNTIF(C3478:C3491,"Show")&gt;0,"3.1 Execution Requirements","No EGC Requirements")</f>
        <v>3.1 Execution Requirements</v>
      </c>
      <c r="G3477" s="13"/>
    </row>
    <row r="3478" spans="2:8" hidden="1" outlineLevel="1">
      <c r="B3478" s="76"/>
      <c r="C3478" t="str">
        <f>$F$5974</f>
        <v>Show</v>
      </c>
      <c r="D3478" s="23"/>
      <c r="E3478" s="12"/>
      <c r="F3478" s="70" t="s">
        <v>119</v>
      </c>
      <c r="G3478" s="12" t="s">
        <v>3407</v>
      </c>
    </row>
    <row r="3479" spans="2:8" hidden="1" outlineLevel="1">
      <c r="B3479" s="76"/>
      <c r="C3479" s="9" t="str">
        <f>C3478</f>
        <v>Show</v>
      </c>
      <c r="D3479" s="23"/>
      <c r="E3479" s="12"/>
      <c r="G3479" s="78" t="s">
        <v>121</v>
      </c>
      <c r="H3479" s="75" t="s">
        <v>2324</v>
      </c>
    </row>
    <row r="3480" spans="2:8" hidden="1" outlineLevel="1">
      <c r="B3480" s="76"/>
      <c r="C3480" t="str">
        <f>$F$5976</f>
        <v>Show</v>
      </c>
      <c r="D3480" s="23"/>
      <c r="E3480" s="12"/>
      <c r="F3480" s="70" t="str">
        <f>CHAR(65+(COUNTIF(C$3478:C3479,"Show")/2))&amp;"."</f>
        <v>B.</v>
      </c>
      <c r="G3480" s="12" t="s">
        <v>3450</v>
      </c>
    </row>
    <row r="3481" spans="2:8" hidden="1" outlineLevel="1">
      <c r="B3481" s="76"/>
      <c r="C3481" s="9" t="str">
        <f>C3480</f>
        <v>Show</v>
      </c>
      <c r="D3481" s="23"/>
      <c r="E3481" s="12"/>
      <c r="G3481" s="78" t="s">
        <v>121</v>
      </c>
      <c r="H3481" s="75" t="s">
        <v>2766</v>
      </c>
    </row>
    <row r="3482" spans="2:8" hidden="1" outlineLevel="1">
      <c r="B3482" s="76"/>
      <c r="C3482" t="str">
        <f>$F$5988</f>
        <v>Show</v>
      </c>
      <c r="D3482" s="23"/>
      <c r="E3482" s="13"/>
      <c r="F3482" s="70" t="str">
        <f>CHAR(65+(COUNTIF(C$3478:C3481,"Show")/2))&amp;"."</f>
        <v>C.</v>
      </c>
      <c r="G3482" s="109" t="s">
        <v>3458</v>
      </c>
    </row>
    <row r="3483" spans="2:8" ht="30" hidden="1" outlineLevel="1">
      <c r="B3483" s="76"/>
      <c r="C3483" s="9" t="str">
        <f>C3482</f>
        <v>Show</v>
      </c>
      <c r="D3483" s="23"/>
      <c r="E3483" s="13"/>
      <c r="G3483" s="78" t="s">
        <v>121</v>
      </c>
      <c r="H3483" s="75" t="s">
        <v>2813</v>
      </c>
    </row>
    <row r="3484" spans="2:8" hidden="1" outlineLevel="1">
      <c r="B3484" s="76"/>
      <c r="C3484" t="str">
        <f>$F$5993</f>
        <v>Show</v>
      </c>
      <c r="D3484" s="23"/>
      <c r="E3484" s="13"/>
      <c r="F3484" s="70" t="str">
        <f>CHAR(65+(COUNTIF(C$3478:C3483,"Show")/2))&amp;"."</f>
        <v>D.</v>
      </c>
      <c r="G3484" s="109" t="s">
        <v>3453</v>
      </c>
    </row>
    <row r="3485" spans="2:8" ht="30" hidden="1" outlineLevel="1">
      <c r="B3485" s="76"/>
      <c r="C3485" s="9" t="str">
        <f>C3484</f>
        <v>Show</v>
      </c>
      <c r="D3485" s="23"/>
      <c r="E3485" s="13"/>
      <c r="G3485" s="78" t="s">
        <v>121</v>
      </c>
      <c r="H3485" s="75" t="s">
        <v>2660</v>
      </c>
    </row>
    <row r="3486" spans="2:8" hidden="1" outlineLevel="1">
      <c r="B3486" s="76"/>
      <c r="C3486" t="str">
        <f>$F$5994</f>
        <v>Show</v>
      </c>
      <c r="D3486" s="23"/>
      <c r="E3486" s="13"/>
      <c r="F3486" s="70" t="str">
        <f>CHAR(65+(COUNTIF(C$3478:C3483,"Show")/2))&amp;"."</f>
        <v>D.</v>
      </c>
      <c r="G3486" s="109" t="s">
        <v>3459</v>
      </c>
    </row>
    <row r="3487" spans="2:8" ht="30" hidden="1" outlineLevel="1">
      <c r="B3487" s="76"/>
      <c r="C3487" s="9" t="str">
        <f>C3486</f>
        <v>Show</v>
      </c>
      <c r="D3487" s="23"/>
      <c r="E3487" s="13"/>
      <c r="G3487" s="78" t="s">
        <v>121</v>
      </c>
      <c r="H3487" s="75" t="s">
        <v>2815</v>
      </c>
    </row>
    <row r="3488" spans="2:8" hidden="1" outlineLevel="1">
      <c r="B3488" s="76"/>
      <c r="C3488" t="str">
        <f>$F$5995</f>
        <v>Show</v>
      </c>
      <c r="D3488" s="23"/>
      <c r="E3488" s="13"/>
      <c r="F3488" s="70" t="str">
        <f>CHAR(65+(COUNTIF(C$3478:C3485,"Show")/2))&amp;"."</f>
        <v>E.</v>
      </c>
      <c r="G3488" s="109" t="s">
        <v>3460</v>
      </c>
    </row>
    <row r="3489" spans="2:9" ht="30" hidden="1" outlineLevel="1">
      <c r="B3489" s="76"/>
      <c r="C3489" s="9" t="str">
        <f>C3488</f>
        <v>Show</v>
      </c>
      <c r="D3489" s="23"/>
      <c r="E3489" s="13"/>
      <c r="G3489" s="78" t="s">
        <v>121</v>
      </c>
      <c r="H3489" s="75" t="s">
        <v>2814</v>
      </c>
    </row>
    <row r="3490" spans="2:9" hidden="1" outlineLevel="1">
      <c r="B3490" s="76"/>
      <c r="C3490" t="str">
        <f>$F$5996</f>
        <v>Show</v>
      </c>
      <c r="D3490" s="23"/>
      <c r="E3490" s="13"/>
      <c r="F3490" s="70" t="str">
        <f>CHAR(65+(COUNTIF(C$3478:C3487,"Show")/2))&amp;"."</f>
        <v>F.</v>
      </c>
      <c r="G3490" s="109" t="s">
        <v>3457</v>
      </c>
    </row>
    <row r="3491" spans="2:9" ht="30" hidden="1" outlineLevel="1">
      <c r="B3491" s="76"/>
      <c r="C3491" s="9" t="str">
        <f>C3490</f>
        <v>Show</v>
      </c>
      <c r="D3491" s="23"/>
      <c r="E3491" s="13"/>
      <c r="G3491" s="78" t="s">
        <v>121</v>
      </c>
      <c r="H3491" s="75" t="s">
        <v>2802</v>
      </c>
    </row>
    <row r="3492" spans="2:9" hidden="1" outlineLevel="1">
      <c r="B3492" s="76"/>
      <c r="C3492" s="9" t="str">
        <f>C3439</f>
        <v>Show</v>
      </c>
    </row>
    <row r="3493" spans="2:9" collapsed="1">
      <c r="B3493" s="23"/>
      <c r="C3493" s="2" t="str">
        <f>C3494</f>
        <v>Show</v>
      </c>
      <c r="D3493" s="55" t="s">
        <v>2304</v>
      </c>
      <c r="E3493" s="55"/>
      <c r="F3493" s="57" t="s">
        <v>2305</v>
      </c>
      <c r="G3493" s="58"/>
      <c r="H3493" s="54"/>
      <c r="I3493" s="75"/>
    </row>
    <row r="3494" spans="2:9" hidden="1" outlineLevel="1">
      <c r="B3494" s="76"/>
      <c r="C3494" s="2" t="str">
        <f>IF((COUNTIF(C3498:C3500,"Show")+COUNTIF(C3503:C3504,"Show")+COUNTIF(C3507:C3508,"Show"))&gt;0,"Show","Hide")</f>
        <v>Show</v>
      </c>
      <c r="D3494" s="23" t="s">
        <v>117</v>
      </c>
      <c r="E3494" s="13"/>
      <c r="G3494" s="13"/>
    </row>
    <row r="3495" spans="2:9" hidden="1" outlineLevel="1">
      <c r="B3495" s="76"/>
      <c r="C3495" s="9" t="str">
        <f>C3494</f>
        <v>Show</v>
      </c>
      <c r="D3495" s="23"/>
      <c r="E3495" s="13">
        <v>1.1000000000000001</v>
      </c>
      <c r="F3495" s="11" t="s">
        <v>118</v>
      </c>
      <c r="G3495" s="13"/>
    </row>
    <row r="3496" spans="2:9" hidden="1" outlineLevel="1">
      <c r="B3496" s="76"/>
      <c r="C3496" s="9" t="str">
        <f>C3495</f>
        <v>Show</v>
      </c>
      <c r="D3496" s="23"/>
      <c r="E3496" s="13"/>
      <c r="F3496" s="70" t="s">
        <v>119</v>
      </c>
      <c r="G3496" s="18" t="s">
        <v>677</v>
      </c>
    </row>
    <row r="3497" spans="2:9" hidden="1" outlineLevel="1">
      <c r="B3497" s="76"/>
      <c r="C3497" s="9" t="str">
        <f>C3496</f>
        <v>Show</v>
      </c>
      <c r="D3497" s="23"/>
      <c r="E3497" s="13"/>
      <c r="F3497" s="70"/>
      <c r="G3497" s="78" t="s">
        <v>121</v>
      </c>
      <c r="H3497" s="79" t="s">
        <v>2301</v>
      </c>
    </row>
    <row r="3498" spans="2:9" hidden="1" outlineLevel="1">
      <c r="B3498" s="76"/>
      <c r="C3498" s="9" t="str">
        <f>IF(COUNTIF(C3499:C3500,"Show")&gt;0,"Show","Hide")</f>
        <v>Show</v>
      </c>
      <c r="D3498" s="23"/>
      <c r="E3498" s="13">
        <v>1.2</v>
      </c>
      <c r="F3498" s="71" t="s">
        <v>131</v>
      </c>
      <c r="G3498" s="78"/>
    </row>
    <row r="3499" spans="2:9" hidden="1" outlineLevel="1">
      <c r="B3499" s="76"/>
      <c r="C3499" t="str">
        <f>$D$5976</f>
        <v>Show</v>
      </c>
      <c r="D3499" s="23"/>
      <c r="E3499" s="13"/>
      <c r="F3499" s="70" t="s">
        <v>119</v>
      </c>
      <c r="G3499" s="12" t="s">
        <v>3450</v>
      </c>
    </row>
    <row r="3500" spans="2:9" hidden="1" outlineLevel="1">
      <c r="B3500" s="76"/>
      <c r="C3500" s="9" t="str">
        <f>C3499</f>
        <v>Show</v>
      </c>
      <c r="D3500" s="23"/>
      <c r="E3500" s="13"/>
      <c r="F3500" s="70"/>
      <c r="G3500" s="78" t="s">
        <v>121</v>
      </c>
      <c r="H3500" s="75" t="s">
        <v>2529</v>
      </c>
    </row>
    <row r="3501" spans="2:9" hidden="1" outlineLevel="1">
      <c r="B3501" s="76"/>
      <c r="C3501" s="9" t="str">
        <f>C3494</f>
        <v>Show</v>
      </c>
      <c r="D3501" s="23" t="s">
        <v>613</v>
      </c>
      <c r="E3501" s="13"/>
      <c r="G3501" s="13"/>
    </row>
    <row r="3502" spans="2:9" hidden="1" outlineLevel="1">
      <c r="B3502" s="76"/>
      <c r="C3502" s="9" t="str">
        <f>C3494</f>
        <v>Show</v>
      </c>
      <c r="D3502" s="23"/>
      <c r="E3502" s="12" t="str">
        <f>IF(COUNTIF(C3503:C3504,"Show")&gt;0,"2.1 Product Requirements","No EGC Requirements")</f>
        <v>2.1 Product Requirements</v>
      </c>
      <c r="G3502" s="13"/>
    </row>
    <row r="3503" spans="2:9" hidden="1" outlineLevel="1">
      <c r="B3503" s="76"/>
      <c r="C3503" t="str">
        <f>$E$5976</f>
        <v>Show</v>
      </c>
      <c r="D3503" s="23"/>
      <c r="E3503" s="12"/>
      <c r="F3503" s="70" t="s">
        <v>119</v>
      </c>
      <c r="G3503" s="12" t="s">
        <v>3450</v>
      </c>
    </row>
    <row r="3504" spans="2:9" hidden="1" outlineLevel="1">
      <c r="B3504" s="76"/>
      <c r="C3504" s="9" t="str">
        <f>C3503</f>
        <v>Show</v>
      </c>
      <c r="D3504" s="23"/>
      <c r="E3504" s="12"/>
      <c r="G3504" s="30" t="s">
        <v>121</v>
      </c>
      <c r="H3504" s="75" t="s">
        <v>2530</v>
      </c>
    </row>
    <row r="3505" spans="2:9" hidden="1" outlineLevel="1">
      <c r="B3505" s="76"/>
      <c r="C3505" s="9" t="str">
        <f>C3494</f>
        <v>Show</v>
      </c>
      <c r="D3505" s="23" t="s">
        <v>187</v>
      </c>
      <c r="E3505" s="13"/>
      <c r="G3505" s="13"/>
    </row>
    <row r="3506" spans="2:9" hidden="1" outlineLevel="1">
      <c r="B3506" s="76"/>
      <c r="C3506" s="9" t="str">
        <f>C3494</f>
        <v>Show</v>
      </c>
      <c r="D3506" s="23"/>
      <c r="E3506" s="12" t="str">
        <f>IF(COUNTIF(C3507:C3508,"Show")&gt;0,"3.1 Execution Requirements","No EGC Requirements")</f>
        <v>3.1 Execution Requirements</v>
      </c>
      <c r="G3506" s="13"/>
    </row>
    <row r="3507" spans="2:9" hidden="1" outlineLevel="1">
      <c r="B3507" s="76"/>
      <c r="C3507" t="str">
        <f>$F$5976</f>
        <v>Show</v>
      </c>
      <c r="D3507" s="23"/>
      <c r="E3507" s="12"/>
      <c r="F3507" s="70" t="s">
        <v>119</v>
      </c>
      <c r="G3507" s="12" t="s">
        <v>3450</v>
      </c>
    </row>
    <row r="3508" spans="2:9" hidden="1" outlineLevel="1">
      <c r="B3508" s="76"/>
      <c r="C3508" s="9" t="str">
        <f>C3507</f>
        <v>Show</v>
      </c>
      <c r="D3508" s="23"/>
      <c r="E3508" s="12"/>
      <c r="G3508" s="78" t="s">
        <v>121</v>
      </c>
      <c r="H3508" s="75" t="s">
        <v>2766</v>
      </c>
    </row>
    <row r="3509" spans="2:9" hidden="1" outlineLevel="1">
      <c r="B3509" s="76"/>
      <c r="C3509" s="9" t="str">
        <f>C3494</f>
        <v>Show</v>
      </c>
    </row>
    <row r="3510" spans="2:9" collapsed="1">
      <c r="B3510" s="23"/>
      <c r="C3510" s="2" t="str">
        <f>C3511</f>
        <v>Show</v>
      </c>
      <c r="D3510" s="55" t="s">
        <v>294</v>
      </c>
      <c r="E3510" s="55"/>
      <c r="F3510" s="57" t="s">
        <v>295</v>
      </c>
      <c r="G3510" s="58"/>
      <c r="H3510" s="54"/>
      <c r="I3510" s="75"/>
    </row>
    <row r="3511" spans="2:9" hidden="1" outlineLevel="1">
      <c r="B3511" s="76"/>
      <c r="C3511" s="2" t="str">
        <f>IF((COUNTIF(C3515:C3517,"Show")+COUNTIF(C3520:C3521,"Show")+COUNTIF(C3524:C3525,"Show"))&gt;0,"Show","Hide")</f>
        <v>Show</v>
      </c>
      <c r="D3511" s="23" t="s">
        <v>117</v>
      </c>
      <c r="E3511" s="13"/>
      <c r="G3511" s="13"/>
    </row>
    <row r="3512" spans="2:9" hidden="1" outlineLevel="1">
      <c r="B3512" s="76"/>
      <c r="C3512" s="9" t="str">
        <f>C3511</f>
        <v>Show</v>
      </c>
      <c r="D3512" s="23"/>
      <c r="E3512" s="13">
        <v>1.1000000000000001</v>
      </c>
      <c r="F3512" s="11" t="s">
        <v>118</v>
      </c>
      <c r="G3512" s="13"/>
    </row>
    <row r="3513" spans="2:9" hidden="1" outlineLevel="1">
      <c r="B3513" s="76"/>
      <c r="C3513" s="9" t="str">
        <f>C3512</f>
        <v>Show</v>
      </c>
      <c r="D3513" s="23"/>
      <c r="E3513" s="13"/>
      <c r="F3513" s="70" t="s">
        <v>119</v>
      </c>
      <c r="G3513" s="18" t="s">
        <v>677</v>
      </c>
    </row>
    <row r="3514" spans="2:9" hidden="1" outlineLevel="1">
      <c r="B3514" s="76"/>
      <c r="C3514" s="9" t="str">
        <f>C3513</f>
        <v>Show</v>
      </c>
      <c r="D3514" s="23"/>
      <c r="E3514" s="13"/>
      <c r="F3514" s="70"/>
      <c r="G3514" s="78" t="s">
        <v>121</v>
      </c>
      <c r="H3514" s="79" t="s">
        <v>2301</v>
      </c>
    </row>
    <row r="3515" spans="2:9" hidden="1" outlineLevel="1">
      <c r="B3515" s="76"/>
      <c r="C3515" s="9" t="str">
        <f>IF(COUNTIF(C3516:C3517,"Show")&gt;0,"Show","Hide")</f>
        <v>Show</v>
      </c>
      <c r="D3515" s="23"/>
      <c r="E3515" s="13">
        <v>1.2</v>
      </c>
      <c r="F3515" s="71" t="s">
        <v>131</v>
      </c>
      <c r="G3515" s="78"/>
    </row>
    <row r="3516" spans="2:9" hidden="1" outlineLevel="1">
      <c r="B3516" s="76"/>
      <c r="C3516" t="str">
        <f>$D$5976</f>
        <v>Show</v>
      </c>
      <c r="D3516" s="23"/>
      <c r="E3516" s="13"/>
      <c r="F3516" s="70" t="s">
        <v>119</v>
      </c>
      <c r="G3516" s="12" t="s">
        <v>3450</v>
      </c>
    </row>
    <row r="3517" spans="2:9" hidden="1" outlineLevel="1">
      <c r="B3517" s="76"/>
      <c r="C3517" s="9" t="str">
        <f>C3516</f>
        <v>Show</v>
      </c>
      <c r="D3517" s="23"/>
      <c r="E3517" s="13"/>
      <c r="F3517" s="70"/>
      <c r="G3517" s="78" t="s">
        <v>121</v>
      </c>
      <c r="H3517" s="75" t="s">
        <v>2529</v>
      </c>
    </row>
    <row r="3518" spans="2:9" hidden="1" outlineLevel="1">
      <c r="B3518" s="76"/>
      <c r="C3518" s="9" t="str">
        <f>C3511</f>
        <v>Show</v>
      </c>
      <c r="D3518" s="23" t="s">
        <v>613</v>
      </c>
      <c r="E3518" s="13"/>
      <c r="G3518" s="13"/>
    </row>
    <row r="3519" spans="2:9" hidden="1" outlineLevel="1">
      <c r="B3519" s="76"/>
      <c r="C3519" s="9" t="str">
        <f>C3511</f>
        <v>Show</v>
      </c>
      <c r="D3519" s="23"/>
      <c r="E3519" s="12" t="str">
        <f>IF(COUNTIF(C3520:C3521,"Show")&gt;0,"2.1 Product Requirements","No EGC Requirements")</f>
        <v>2.1 Product Requirements</v>
      </c>
      <c r="G3519" s="13"/>
    </row>
    <row r="3520" spans="2:9" hidden="1" outlineLevel="1">
      <c r="B3520" s="76"/>
      <c r="C3520" t="str">
        <f>$E$5976</f>
        <v>Show</v>
      </c>
      <c r="D3520" s="23"/>
      <c r="E3520" s="12"/>
      <c r="F3520" s="70" t="s">
        <v>119</v>
      </c>
      <c r="G3520" s="12" t="s">
        <v>3450</v>
      </c>
    </row>
    <row r="3521" spans="2:9" hidden="1" outlineLevel="1">
      <c r="B3521" s="76"/>
      <c r="C3521" s="9" t="str">
        <f>C3520</f>
        <v>Show</v>
      </c>
      <c r="D3521" s="23"/>
      <c r="E3521" s="12"/>
      <c r="G3521" s="30" t="s">
        <v>121</v>
      </c>
      <c r="H3521" s="75" t="s">
        <v>2530</v>
      </c>
    </row>
    <row r="3522" spans="2:9" hidden="1" outlineLevel="1">
      <c r="B3522" s="76"/>
      <c r="C3522" s="9" t="str">
        <f>C3511</f>
        <v>Show</v>
      </c>
      <c r="D3522" s="23" t="s">
        <v>187</v>
      </c>
      <c r="E3522" s="13"/>
      <c r="G3522" s="13"/>
    </row>
    <row r="3523" spans="2:9" hidden="1" outlineLevel="1">
      <c r="B3523" s="76"/>
      <c r="C3523" s="9" t="str">
        <f>C3511</f>
        <v>Show</v>
      </c>
      <c r="D3523" s="23"/>
      <c r="E3523" s="12" t="str">
        <f>IF(COUNTIF(C3524:C3525,"Show")&gt;0,"3.1 Execution Requirements","No EGC Requirements")</f>
        <v>3.1 Execution Requirements</v>
      </c>
      <c r="G3523" s="13"/>
    </row>
    <row r="3524" spans="2:9" hidden="1" outlineLevel="1">
      <c r="B3524" s="76"/>
      <c r="C3524" t="str">
        <f>$F$5976</f>
        <v>Show</v>
      </c>
      <c r="D3524" s="23"/>
      <c r="E3524" s="12"/>
      <c r="F3524" s="70" t="s">
        <v>119</v>
      </c>
      <c r="G3524" s="12" t="s">
        <v>3450</v>
      </c>
    </row>
    <row r="3525" spans="2:9" hidden="1" outlineLevel="1">
      <c r="B3525" s="76"/>
      <c r="C3525" s="9" t="str">
        <f>C3524</f>
        <v>Show</v>
      </c>
      <c r="D3525" s="23"/>
      <c r="E3525" s="12"/>
      <c r="G3525" s="78" t="s">
        <v>121</v>
      </c>
      <c r="H3525" s="75" t="s">
        <v>2766</v>
      </c>
    </row>
    <row r="3526" spans="2:9" hidden="1" outlineLevel="1">
      <c r="B3526" s="76"/>
      <c r="C3526" s="9" t="str">
        <f>C3511</f>
        <v>Show</v>
      </c>
    </row>
    <row r="3527" spans="2:9" collapsed="1">
      <c r="B3527" s="23"/>
      <c r="C3527" s="2" t="str">
        <f>C3528</f>
        <v>Show</v>
      </c>
      <c r="D3527" s="55" t="s">
        <v>1668</v>
      </c>
      <c r="E3527" s="55"/>
      <c r="F3527" s="57" t="s">
        <v>1654</v>
      </c>
      <c r="G3527" s="58"/>
      <c r="H3527" s="54"/>
      <c r="I3527" s="75"/>
    </row>
    <row r="3528" spans="2:9" hidden="1" outlineLevel="1">
      <c r="B3528" s="76"/>
      <c r="C3528" s="2" t="str">
        <f>IF((COUNTIF(C3532:C3542,"Show")+COUNTIF(C3545:C3554,"Show")+COUNTIF(C3557:C3566,"Show"))&gt;0,"Show","Hide")</f>
        <v>Show</v>
      </c>
      <c r="D3528" s="23" t="s">
        <v>117</v>
      </c>
      <c r="E3528" s="13"/>
      <c r="G3528" s="13"/>
    </row>
    <row r="3529" spans="2:9" hidden="1" outlineLevel="1">
      <c r="B3529" s="76"/>
      <c r="C3529" s="9" t="str">
        <f>C3528</f>
        <v>Show</v>
      </c>
      <c r="D3529" s="23"/>
      <c r="E3529" s="13">
        <v>1.1000000000000001</v>
      </c>
      <c r="F3529" s="11" t="s">
        <v>118</v>
      </c>
      <c r="G3529" s="13"/>
    </row>
    <row r="3530" spans="2:9" hidden="1" outlineLevel="1">
      <c r="B3530" s="76"/>
      <c r="C3530" s="9" t="str">
        <f>C3529</f>
        <v>Show</v>
      </c>
      <c r="D3530" s="23"/>
      <c r="E3530" s="13"/>
      <c r="F3530" s="70" t="s">
        <v>119</v>
      </c>
      <c r="G3530" s="18" t="s">
        <v>677</v>
      </c>
    </row>
    <row r="3531" spans="2:9" hidden="1" outlineLevel="1">
      <c r="B3531" s="76"/>
      <c r="C3531" s="9" t="str">
        <f>C3530</f>
        <v>Show</v>
      </c>
      <c r="D3531" s="23"/>
      <c r="E3531" s="13"/>
      <c r="F3531" s="70"/>
      <c r="G3531" s="78" t="s">
        <v>121</v>
      </c>
      <c r="H3531" s="79" t="s">
        <v>2301</v>
      </c>
    </row>
    <row r="3532" spans="2:9" hidden="1" outlineLevel="1">
      <c r="B3532" s="76"/>
      <c r="C3532" s="9" t="str">
        <f>IF(COUNTIF(C3533:C3542,"Show")&gt;0,"Show","Hide")</f>
        <v>Show</v>
      </c>
      <c r="D3532" s="23"/>
      <c r="E3532" s="13">
        <v>1.2</v>
      </c>
      <c r="F3532" s="71" t="s">
        <v>131</v>
      </c>
      <c r="G3532" s="78"/>
    </row>
    <row r="3533" spans="2:9" hidden="1" outlineLevel="1">
      <c r="B3533" s="76"/>
      <c r="C3533" t="str">
        <f>$D$5976</f>
        <v>Show</v>
      </c>
      <c r="D3533" s="23"/>
      <c r="E3533" s="13"/>
      <c r="F3533" s="70" t="s">
        <v>119</v>
      </c>
      <c r="G3533" s="12" t="s">
        <v>3450</v>
      </c>
    </row>
    <row r="3534" spans="2:9" hidden="1" outlineLevel="1">
      <c r="B3534" s="76"/>
      <c r="C3534" s="9" t="str">
        <f>C3533</f>
        <v>Show</v>
      </c>
      <c r="D3534" s="23"/>
      <c r="E3534" s="13"/>
      <c r="F3534" s="70"/>
      <c r="G3534" s="78" t="s">
        <v>121</v>
      </c>
      <c r="H3534" s="75" t="s">
        <v>2529</v>
      </c>
    </row>
    <row r="3535" spans="2:9" hidden="1" outlineLevel="1">
      <c r="B3535" s="76"/>
      <c r="C3535" t="str">
        <f>$D$5988</f>
        <v>Show</v>
      </c>
      <c r="D3535" s="23"/>
      <c r="E3535" s="13"/>
      <c r="F3535" s="70" t="str">
        <f>CHAR(65+(COUNTIF(C$3533:C3534,"Show")/2))&amp;"."</f>
        <v>B.</v>
      </c>
      <c r="G3535" s="109" t="s">
        <v>3458</v>
      </c>
    </row>
    <row r="3536" spans="2:9" hidden="1" outlineLevel="1">
      <c r="B3536" s="76"/>
      <c r="C3536" s="9" t="str">
        <f>C3535</f>
        <v>Show</v>
      </c>
      <c r="D3536" s="23"/>
      <c r="E3536" s="13"/>
      <c r="F3536" s="70"/>
      <c r="G3536" s="78" t="s">
        <v>121</v>
      </c>
      <c r="H3536" s="75" t="s">
        <v>2806</v>
      </c>
    </row>
    <row r="3537" spans="2:8" hidden="1" outlineLevel="1">
      <c r="B3537" s="76"/>
      <c r="C3537" t="str">
        <f>$D$5994</f>
        <v>Show</v>
      </c>
      <c r="D3537" s="23"/>
      <c r="E3537" s="13"/>
      <c r="F3537" s="70" t="str">
        <f>CHAR(65+(COUNTIF(C$3533:C3536,"Show")/2))&amp;"."</f>
        <v>C.</v>
      </c>
      <c r="G3537" s="109" t="s">
        <v>3459</v>
      </c>
    </row>
    <row r="3538" spans="2:8" hidden="1" outlineLevel="1">
      <c r="B3538" s="76"/>
      <c r="C3538" s="9" t="str">
        <f>C3537</f>
        <v>Show</v>
      </c>
      <c r="D3538" s="23"/>
      <c r="E3538" s="13"/>
      <c r="F3538" s="70"/>
      <c r="G3538" s="78" t="s">
        <v>121</v>
      </c>
      <c r="H3538" s="75" t="s">
        <v>2810</v>
      </c>
    </row>
    <row r="3539" spans="2:8" hidden="1" outlineLevel="1">
      <c r="B3539" s="76"/>
      <c r="C3539" t="str">
        <f>$D$5995</f>
        <v>Show</v>
      </c>
      <c r="D3539" s="23"/>
      <c r="E3539" s="13"/>
      <c r="F3539" s="70" t="str">
        <f>CHAR(65+(COUNTIF(C$3533:C3538,"Show")/2))&amp;"."</f>
        <v>D.</v>
      </c>
      <c r="G3539" s="109" t="s">
        <v>3460</v>
      </c>
    </row>
    <row r="3540" spans="2:8" hidden="1" outlineLevel="1">
      <c r="B3540" s="76"/>
      <c r="C3540" s="9" t="str">
        <f>C3539</f>
        <v>Show</v>
      </c>
      <c r="D3540" s="23"/>
      <c r="E3540" s="13"/>
      <c r="F3540" s="70"/>
      <c r="G3540" s="78" t="s">
        <v>121</v>
      </c>
      <c r="H3540" s="75" t="s">
        <v>2811</v>
      </c>
    </row>
    <row r="3541" spans="2:8" hidden="1" outlineLevel="1">
      <c r="B3541" s="76"/>
      <c r="C3541" t="str">
        <f>$D$5996</f>
        <v>Show</v>
      </c>
      <c r="D3541" s="23"/>
      <c r="E3541" s="13"/>
      <c r="F3541" s="70" t="str">
        <f>CHAR(65+(COUNTIF(C$3533:C3540,"Show")/2))&amp;"."</f>
        <v>E.</v>
      </c>
      <c r="G3541" s="109" t="s">
        <v>3457</v>
      </c>
    </row>
    <row r="3542" spans="2:8" hidden="1" outlineLevel="1">
      <c r="B3542" s="76"/>
      <c r="C3542" s="9" t="str">
        <f>C3541</f>
        <v>Show</v>
      </c>
      <c r="D3542" s="23"/>
      <c r="E3542" s="13"/>
      <c r="F3542" s="70"/>
      <c r="G3542" s="78" t="s">
        <v>121</v>
      </c>
      <c r="H3542" s="75" t="s">
        <v>2804</v>
      </c>
    </row>
    <row r="3543" spans="2:8" hidden="1" outlineLevel="1">
      <c r="B3543" s="76"/>
      <c r="C3543" s="9" t="str">
        <f>C3528</f>
        <v>Show</v>
      </c>
      <c r="D3543" s="23" t="s">
        <v>613</v>
      </c>
      <c r="E3543" s="13"/>
      <c r="G3543" s="13"/>
    </row>
    <row r="3544" spans="2:8" hidden="1" outlineLevel="1">
      <c r="B3544" s="76"/>
      <c r="C3544" s="9" t="str">
        <f>C3528</f>
        <v>Show</v>
      </c>
      <c r="D3544" s="23"/>
      <c r="E3544" s="12" t="str">
        <f>IF(COUNTIF(C3545:C3554,"Show")&gt;0,"2.1 Product Requirements","No EGC Requirements")</f>
        <v>2.1 Product Requirements</v>
      </c>
      <c r="G3544" s="13"/>
    </row>
    <row r="3545" spans="2:8" hidden="1" outlineLevel="1">
      <c r="B3545" s="76"/>
      <c r="C3545" t="str">
        <f>$E$5976</f>
        <v>Show</v>
      </c>
      <c r="D3545" s="23"/>
      <c r="E3545" s="12"/>
      <c r="F3545" s="70" t="s">
        <v>119</v>
      </c>
      <c r="G3545" s="12" t="s">
        <v>3450</v>
      </c>
    </row>
    <row r="3546" spans="2:8" hidden="1" outlineLevel="1">
      <c r="B3546" s="76"/>
      <c r="C3546" s="9" t="str">
        <f>C3545</f>
        <v>Show</v>
      </c>
      <c r="D3546" s="23"/>
      <c r="E3546" s="12"/>
      <c r="G3546" s="30" t="s">
        <v>121</v>
      </c>
      <c r="H3546" s="75" t="s">
        <v>2530</v>
      </c>
    </row>
    <row r="3547" spans="2:8" hidden="1" outlineLevel="1">
      <c r="B3547" s="76"/>
      <c r="C3547" t="str">
        <f>$E$5988</f>
        <v>Show</v>
      </c>
      <c r="D3547" s="23"/>
      <c r="E3547" s="12"/>
      <c r="F3547" s="70" t="str">
        <f>CHAR(65+(COUNTIF(C$3545:C3546,"Show")/2))&amp;"."</f>
        <v>B.</v>
      </c>
      <c r="G3547" s="109" t="s">
        <v>3458</v>
      </c>
    </row>
    <row r="3548" spans="2:8" hidden="1" outlineLevel="1">
      <c r="B3548" s="76"/>
      <c r="C3548" s="9" t="str">
        <f>C3547</f>
        <v>Show</v>
      </c>
      <c r="D3548" s="23"/>
      <c r="E3548" s="12"/>
      <c r="G3548" s="30" t="s">
        <v>121</v>
      </c>
      <c r="H3548" s="75" t="s">
        <v>2807</v>
      </c>
    </row>
    <row r="3549" spans="2:8" hidden="1" outlineLevel="1">
      <c r="B3549" s="76"/>
      <c r="C3549" t="str">
        <f>$E$5994</f>
        <v>Show</v>
      </c>
      <c r="D3549" s="23"/>
      <c r="E3549" s="12"/>
      <c r="F3549" s="70" t="str">
        <f>CHAR(65+(COUNTIF(C$3545:C3548,"Show")/2))&amp;"."</f>
        <v>C.</v>
      </c>
      <c r="G3549" s="109" t="s">
        <v>3459</v>
      </c>
    </row>
    <row r="3550" spans="2:8" hidden="1" outlineLevel="1">
      <c r="B3550" s="76"/>
      <c r="C3550" s="9" t="str">
        <f>C3549</f>
        <v>Show</v>
      </c>
      <c r="D3550" s="23"/>
      <c r="E3550" s="12"/>
      <c r="G3550" s="30" t="s">
        <v>121</v>
      </c>
      <c r="H3550" s="75" t="s">
        <v>2809</v>
      </c>
    </row>
    <row r="3551" spans="2:8" hidden="1" outlineLevel="1">
      <c r="B3551" s="76"/>
      <c r="C3551" t="str">
        <f>$E$5995</f>
        <v>Show</v>
      </c>
      <c r="D3551" s="23"/>
      <c r="E3551" s="12"/>
      <c r="F3551" s="70" t="str">
        <f>CHAR(65+(COUNTIF(C$3545:C3550,"Show")/2))&amp;"."</f>
        <v>D.</v>
      </c>
      <c r="G3551" s="109" t="s">
        <v>3460</v>
      </c>
    </row>
    <row r="3552" spans="2:8" hidden="1" outlineLevel="1">
      <c r="B3552" s="76"/>
      <c r="C3552" s="9" t="str">
        <f>C3551</f>
        <v>Show</v>
      </c>
      <c r="D3552" s="23"/>
      <c r="E3552" s="12"/>
      <c r="G3552" s="78" t="s">
        <v>121</v>
      </c>
      <c r="H3552" s="75" t="s">
        <v>2812</v>
      </c>
    </row>
    <row r="3553" spans="2:9" hidden="1" outlineLevel="1">
      <c r="B3553" s="76"/>
      <c r="C3553" t="str">
        <f>$E$5996</f>
        <v>Show</v>
      </c>
      <c r="D3553" s="23"/>
      <c r="E3553" s="12"/>
      <c r="F3553" s="70" t="str">
        <f>CHAR(65+(COUNTIF(C$3545:C3552,"Show")/2))&amp;"."</f>
        <v>E.</v>
      </c>
      <c r="G3553" s="109" t="s">
        <v>3457</v>
      </c>
    </row>
    <row r="3554" spans="2:9" hidden="1" outlineLevel="1">
      <c r="B3554" s="76"/>
      <c r="C3554" s="9" t="str">
        <f>C3553</f>
        <v>Show</v>
      </c>
      <c r="D3554" s="23"/>
      <c r="E3554" s="12"/>
      <c r="G3554" s="78" t="s">
        <v>121</v>
      </c>
      <c r="H3554" s="75" t="s">
        <v>2803</v>
      </c>
    </row>
    <row r="3555" spans="2:9" hidden="1" outlineLevel="1">
      <c r="B3555" s="76"/>
      <c r="C3555" s="9" t="str">
        <f>C3528</f>
        <v>Show</v>
      </c>
      <c r="D3555" s="23" t="s">
        <v>187</v>
      </c>
      <c r="E3555" s="13"/>
      <c r="G3555" s="13"/>
    </row>
    <row r="3556" spans="2:9" hidden="1" outlineLevel="1">
      <c r="B3556" s="76"/>
      <c r="C3556" s="9" t="str">
        <f>C3528</f>
        <v>Show</v>
      </c>
      <c r="D3556" s="23"/>
      <c r="E3556" s="12" t="str">
        <f>IF(COUNTIF(C3557:C3566,"Show")&gt;0,"3.1 Execution Requirements","No EGC Requirements")</f>
        <v>3.1 Execution Requirements</v>
      </c>
      <c r="G3556" s="13"/>
    </row>
    <row r="3557" spans="2:9" hidden="1" outlineLevel="1">
      <c r="B3557" s="76"/>
      <c r="C3557" t="str">
        <f>$F$5976</f>
        <v>Show</v>
      </c>
      <c r="D3557" s="23"/>
      <c r="E3557" s="12"/>
      <c r="F3557" s="70" t="s">
        <v>119</v>
      </c>
      <c r="G3557" s="12" t="s">
        <v>3450</v>
      </c>
    </row>
    <row r="3558" spans="2:9" hidden="1" outlineLevel="1">
      <c r="B3558" s="76"/>
      <c r="C3558" s="9" t="str">
        <f>C3557</f>
        <v>Show</v>
      </c>
      <c r="D3558" s="23"/>
      <c r="E3558" s="12"/>
      <c r="G3558" s="78" t="s">
        <v>121</v>
      </c>
      <c r="H3558" s="75" t="s">
        <v>2766</v>
      </c>
    </row>
    <row r="3559" spans="2:9" hidden="1" outlineLevel="1">
      <c r="B3559" s="76"/>
      <c r="C3559" t="str">
        <f>$F$5988</f>
        <v>Show</v>
      </c>
      <c r="D3559" s="23"/>
      <c r="E3559" s="13"/>
      <c r="F3559" s="70" t="str">
        <f>CHAR(65+(COUNTIF(C$3557:C3558,"Show")/2))&amp;"."</f>
        <v>B.</v>
      </c>
      <c r="G3559" s="109" t="s">
        <v>3458</v>
      </c>
    </row>
    <row r="3560" spans="2:9" ht="30" hidden="1" outlineLevel="1">
      <c r="B3560" s="76"/>
      <c r="C3560" s="9" t="str">
        <f>C3559</f>
        <v>Show</v>
      </c>
      <c r="D3560" s="23"/>
      <c r="E3560" s="13"/>
      <c r="G3560" s="78" t="s">
        <v>121</v>
      </c>
      <c r="H3560" s="75" t="s">
        <v>2813</v>
      </c>
    </row>
    <row r="3561" spans="2:9" hidden="1" outlineLevel="1">
      <c r="B3561" s="76"/>
      <c r="C3561" t="str">
        <f>$F$5994</f>
        <v>Show</v>
      </c>
      <c r="D3561" s="23"/>
      <c r="E3561" s="13"/>
      <c r="F3561" s="70" t="str">
        <f>CHAR(65+(COUNTIF(C$3557:C3560,"Show")/2))&amp;"."</f>
        <v>C.</v>
      </c>
      <c r="G3561" s="109" t="s">
        <v>3459</v>
      </c>
    </row>
    <row r="3562" spans="2:9" ht="30" hidden="1" outlineLevel="1">
      <c r="B3562" s="76"/>
      <c r="C3562" s="9" t="str">
        <f>C3561</f>
        <v>Show</v>
      </c>
      <c r="D3562" s="23"/>
      <c r="E3562" s="13"/>
      <c r="G3562" s="78" t="s">
        <v>121</v>
      </c>
      <c r="H3562" s="75" t="s">
        <v>2815</v>
      </c>
    </row>
    <row r="3563" spans="2:9" hidden="1" outlineLevel="1">
      <c r="B3563" s="76"/>
      <c r="C3563" t="str">
        <f>$F$5995</f>
        <v>Show</v>
      </c>
      <c r="D3563" s="23"/>
      <c r="E3563" s="13"/>
      <c r="F3563" s="70" t="str">
        <f>CHAR(65+(COUNTIF(C$3557:C3562,"Show")/2))&amp;"."</f>
        <v>D.</v>
      </c>
      <c r="G3563" s="109" t="s">
        <v>3460</v>
      </c>
    </row>
    <row r="3564" spans="2:9" ht="30" hidden="1" outlineLevel="1">
      <c r="B3564" s="76"/>
      <c r="C3564" s="9" t="str">
        <f>C3563</f>
        <v>Show</v>
      </c>
      <c r="D3564" s="23"/>
      <c r="E3564" s="13"/>
      <c r="G3564" s="78" t="s">
        <v>121</v>
      </c>
      <c r="H3564" s="75" t="s">
        <v>2814</v>
      </c>
    </row>
    <row r="3565" spans="2:9" hidden="1" outlineLevel="1">
      <c r="B3565" s="76"/>
      <c r="C3565" t="str">
        <f>$F$5996</f>
        <v>Show</v>
      </c>
      <c r="D3565" s="23"/>
      <c r="E3565" s="13"/>
      <c r="F3565" s="70" t="str">
        <f>CHAR(65+(COUNTIF(C$3557:C3564,"Show")/2))&amp;"."</f>
        <v>E.</v>
      </c>
      <c r="G3565" s="109" t="s">
        <v>3457</v>
      </c>
    </row>
    <row r="3566" spans="2:9" ht="30" hidden="1" outlineLevel="1">
      <c r="B3566" s="76"/>
      <c r="C3566" s="9" t="str">
        <f>C3565</f>
        <v>Show</v>
      </c>
      <c r="D3566" s="23"/>
      <c r="E3566" s="13"/>
      <c r="G3566" s="78" t="s">
        <v>121</v>
      </c>
      <c r="H3566" s="75" t="s">
        <v>2802</v>
      </c>
    </row>
    <row r="3567" spans="2:9" hidden="1" outlineLevel="1">
      <c r="B3567" s="76"/>
      <c r="C3567" s="9" t="str">
        <f>C3528</f>
        <v>Show</v>
      </c>
    </row>
    <row r="3568" spans="2:9" collapsed="1">
      <c r="B3568" s="23"/>
      <c r="C3568" s="2" t="str">
        <f>C3569</f>
        <v>Show</v>
      </c>
      <c r="D3568" s="55" t="s">
        <v>1669</v>
      </c>
      <c r="E3568" s="55"/>
      <c r="F3568" s="57" t="s">
        <v>1655</v>
      </c>
      <c r="G3568" s="58"/>
      <c r="H3568" s="54"/>
      <c r="I3568" s="75"/>
    </row>
    <row r="3569" spans="2:8" hidden="1" outlineLevel="1">
      <c r="B3569" s="76"/>
      <c r="C3569" s="2" t="str">
        <f>IF((COUNTIF(C3573:C3577,"Show")+COUNTIF(C3580:C3583,"Show")+COUNTIF(C3586:C3587,"Show"))&gt;0,"Show","Hide")</f>
        <v>Show</v>
      </c>
      <c r="D3569" s="23" t="s">
        <v>117</v>
      </c>
      <c r="E3569" s="13"/>
      <c r="G3569" s="13"/>
    </row>
    <row r="3570" spans="2:8" hidden="1" outlineLevel="1">
      <c r="B3570" s="76"/>
      <c r="C3570" s="9" t="str">
        <f>C3569</f>
        <v>Show</v>
      </c>
      <c r="D3570" s="23"/>
      <c r="E3570" s="13">
        <v>1.1000000000000001</v>
      </c>
      <c r="F3570" s="11" t="s">
        <v>118</v>
      </c>
      <c r="G3570" s="13"/>
    </row>
    <row r="3571" spans="2:8" hidden="1" outlineLevel="1">
      <c r="B3571" s="76"/>
      <c r="C3571" s="9" t="str">
        <f>C3570</f>
        <v>Show</v>
      </c>
      <c r="D3571" s="23"/>
      <c r="E3571" s="13"/>
      <c r="F3571" s="70" t="s">
        <v>119</v>
      </c>
      <c r="G3571" s="18" t="s">
        <v>677</v>
      </c>
    </row>
    <row r="3572" spans="2:8" hidden="1" outlineLevel="1">
      <c r="B3572" s="76"/>
      <c r="C3572" s="9" t="str">
        <f>C3571</f>
        <v>Show</v>
      </c>
      <c r="D3572" s="23"/>
      <c r="E3572" s="13"/>
      <c r="F3572" s="70"/>
      <c r="G3572" s="78" t="s">
        <v>121</v>
      </c>
      <c r="H3572" s="79" t="s">
        <v>2301</v>
      </c>
    </row>
    <row r="3573" spans="2:8" hidden="1" outlineLevel="1">
      <c r="B3573" s="76"/>
      <c r="C3573" s="9" t="str">
        <f>IF(COUNTIF(C3574:C3577,"Show")&gt;0,"Show","Hide")</f>
        <v>Show</v>
      </c>
      <c r="D3573" s="23"/>
      <c r="E3573" s="13">
        <v>1.2</v>
      </c>
      <c r="F3573" s="71" t="s">
        <v>131</v>
      </c>
      <c r="G3573" s="78"/>
    </row>
    <row r="3574" spans="2:8" hidden="1" outlineLevel="1">
      <c r="B3574" s="76"/>
      <c r="C3574" t="str">
        <f>$D$5990</f>
        <v>Show</v>
      </c>
      <c r="D3574" s="23"/>
      <c r="E3574" s="13"/>
      <c r="F3574" s="70" t="s">
        <v>119</v>
      </c>
      <c r="G3574" s="12" t="s">
        <v>3454</v>
      </c>
    </row>
    <row r="3575" spans="2:8" hidden="1" outlineLevel="1">
      <c r="B3575" s="76"/>
      <c r="C3575" s="9" t="str">
        <f>C3574</f>
        <v>Show</v>
      </c>
      <c r="D3575" s="23"/>
      <c r="E3575" s="13"/>
      <c r="F3575" s="70"/>
      <c r="G3575" s="78" t="s">
        <v>121</v>
      </c>
      <c r="H3575" s="75" t="s">
        <v>2797</v>
      </c>
    </row>
    <row r="3576" spans="2:8" hidden="1" outlineLevel="1">
      <c r="B3576" s="76"/>
      <c r="C3576" t="str">
        <f>$D$5991</f>
        <v>Show</v>
      </c>
      <c r="D3576" s="23"/>
      <c r="E3576" s="13"/>
      <c r="F3576" s="70" t="str">
        <f>CHAR(65+(COUNTIF(C$3574:C3575,"Show")/2))&amp;"."</f>
        <v>B.</v>
      </c>
      <c r="G3576" s="12" t="s">
        <v>3455</v>
      </c>
    </row>
    <row r="3577" spans="2:8" hidden="1" outlineLevel="1">
      <c r="B3577" s="76"/>
      <c r="C3577" s="9" t="str">
        <f>C3576</f>
        <v>Show</v>
      </c>
      <c r="D3577" s="23"/>
      <c r="E3577" s="13"/>
      <c r="F3577" s="70"/>
      <c r="G3577" s="78" t="s">
        <v>121</v>
      </c>
      <c r="H3577" s="75" t="s">
        <v>2798</v>
      </c>
    </row>
    <row r="3578" spans="2:8" hidden="1" outlineLevel="1">
      <c r="B3578" s="76"/>
      <c r="C3578" s="9" t="str">
        <f>C3569</f>
        <v>Show</v>
      </c>
      <c r="D3578" s="23" t="s">
        <v>613</v>
      </c>
      <c r="E3578" s="13"/>
      <c r="G3578" s="13"/>
    </row>
    <row r="3579" spans="2:8" hidden="1" outlineLevel="1">
      <c r="B3579" s="76"/>
      <c r="C3579" s="9" t="str">
        <f>C3569</f>
        <v>Show</v>
      </c>
      <c r="D3579" s="23"/>
      <c r="E3579" s="12" t="str">
        <f>IF(COUNTIF(C3580:C3583,"Show")&gt;0,"2.1 Product Requirements","No EGC Requirements")</f>
        <v>2.1 Product Requirements</v>
      </c>
      <c r="G3579" s="13"/>
    </row>
    <row r="3580" spans="2:8" hidden="1" outlineLevel="1">
      <c r="B3580" s="76"/>
      <c r="C3580" t="str">
        <f>$E$5990</f>
        <v>Show</v>
      </c>
      <c r="D3580" s="23"/>
      <c r="E3580" s="12"/>
      <c r="F3580" s="70" t="s">
        <v>119</v>
      </c>
      <c r="G3580" s="12" t="s">
        <v>3454</v>
      </c>
    </row>
    <row r="3581" spans="2:8" hidden="1" outlineLevel="1">
      <c r="B3581" s="76"/>
      <c r="C3581" s="9" t="str">
        <f>C3580</f>
        <v>Show</v>
      </c>
      <c r="D3581" s="23"/>
      <c r="E3581" s="12"/>
      <c r="G3581" s="30" t="s">
        <v>121</v>
      </c>
      <c r="H3581" s="75" t="s">
        <v>2794</v>
      </c>
    </row>
    <row r="3582" spans="2:8" hidden="1" outlineLevel="1">
      <c r="B3582" s="76"/>
      <c r="C3582" t="str">
        <f>$E$5991</f>
        <v>Show</v>
      </c>
      <c r="D3582" s="23"/>
      <c r="E3582" s="12"/>
      <c r="F3582" s="70" t="str">
        <f>CHAR(65+(COUNTIF(C$3580:C3581,"Show")/2))&amp;"."</f>
        <v>B.</v>
      </c>
      <c r="G3582" s="12" t="s">
        <v>3455</v>
      </c>
    </row>
    <row r="3583" spans="2:8" hidden="1" outlineLevel="1">
      <c r="B3583" s="76"/>
      <c r="C3583" s="9" t="str">
        <f>C3582</f>
        <v>Show</v>
      </c>
      <c r="D3583" s="23"/>
      <c r="E3583" s="12"/>
      <c r="G3583" s="30" t="s">
        <v>121</v>
      </c>
      <c r="H3583" s="75" t="s">
        <v>2795</v>
      </c>
    </row>
    <row r="3584" spans="2:8" hidden="1" outlineLevel="1">
      <c r="B3584" s="76"/>
      <c r="C3584" s="9" t="str">
        <f>C3569</f>
        <v>Show</v>
      </c>
      <c r="D3584" s="23" t="s">
        <v>187</v>
      </c>
      <c r="E3584" s="13"/>
      <c r="G3584" s="13"/>
    </row>
    <row r="3585" spans="2:9" hidden="1" outlineLevel="1">
      <c r="B3585" s="76"/>
      <c r="C3585" s="9" t="str">
        <f>C3569</f>
        <v>Show</v>
      </c>
      <c r="D3585" s="23"/>
      <c r="E3585" s="12" t="str">
        <f>IF(COUNTIF(C3586:C3587,"Show")&gt;0,"3.1 Execution Requirements","No EGC Requirements")</f>
        <v>3.1 Execution Requirements</v>
      </c>
      <c r="G3585" s="13"/>
    </row>
    <row r="3586" spans="2:9" hidden="1" outlineLevel="1">
      <c r="B3586" s="76"/>
      <c r="C3586" t="str">
        <f>$F$5991</f>
        <v>Show</v>
      </c>
      <c r="D3586" s="23"/>
      <c r="E3586" s="13"/>
      <c r="F3586" s="70" t="s">
        <v>119</v>
      </c>
      <c r="G3586" s="12" t="s">
        <v>3455</v>
      </c>
    </row>
    <row r="3587" spans="2:9" ht="30" hidden="1" outlineLevel="1">
      <c r="B3587" s="76"/>
      <c r="C3587" s="9" t="str">
        <f>C3586</f>
        <v>Show</v>
      </c>
      <c r="D3587" s="23"/>
      <c r="E3587" s="13"/>
      <c r="G3587" s="78" t="s">
        <v>121</v>
      </c>
      <c r="H3587" s="75" t="s">
        <v>2796</v>
      </c>
    </row>
    <row r="3588" spans="2:9" hidden="1" outlineLevel="1">
      <c r="B3588" s="76"/>
      <c r="C3588" s="9" t="str">
        <f>C3569</f>
        <v>Show</v>
      </c>
    </row>
    <row r="3589" spans="2:9" collapsed="1">
      <c r="B3589" s="23"/>
      <c r="C3589" s="2" t="str">
        <f>C3590</f>
        <v>Show</v>
      </c>
      <c r="D3589" s="55" t="s">
        <v>1670</v>
      </c>
      <c r="E3589" s="55"/>
      <c r="F3589" s="57" t="s">
        <v>1656</v>
      </c>
      <c r="G3589" s="58"/>
      <c r="H3589" s="54"/>
      <c r="I3589" s="75"/>
    </row>
    <row r="3590" spans="2:9" hidden="1" outlineLevel="1">
      <c r="B3590" s="76"/>
      <c r="C3590" s="2" t="str">
        <f>IF((COUNTIF(C3594:C3598,"Show")+COUNTIF(C3601:C3604,"Show")+COUNTIF(C3607:C3608,"Show"))&gt;0,"Show","Hide")</f>
        <v>Show</v>
      </c>
      <c r="D3590" s="23" t="s">
        <v>117</v>
      </c>
      <c r="E3590" s="13"/>
      <c r="G3590" s="13"/>
    </row>
    <row r="3591" spans="2:9" hidden="1" outlineLevel="1">
      <c r="B3591" s="76"/>
      <c r="C3591" s="9" t="str">
        <f>C3590</f>
        <v>Show</v>
      </c>
      <c r="D3591" s="23"/>
      <c r="E3591" s="13">
        <v>1.1000000000000001</v>
      </c>
      <c r="F3591" s="11" t="s">
        <v>118</v>
      </c>
      <c r="G3591" s="13"/>
    </row>
    <row r="3592" spans="2:9" hidden="1" outlineLevel="1">
      <c r="B3592" s="76"/>
      <c r="C3592" s="9" t="str">
        <f>C3591</f>
        <v>Show</v>
      </c>
      <c r="D3592" s="23"/>
      <c r="E3592" s="13"/>
      <c r="F3592" s="70" t="s">
        <v>119</v>
      </c>
      <c r="G3592" s="18" t="s">
        <v>677</v>
      </c>
    </row>
    <row r="3593" spans="2:9" hidden="1" outlineLevel="1">
      <c r="B3593" s="76"/>
      <c r="C3593" s="9" t="str">
        <f>C3592</f>
        <v>Show</v>
      </c>
      <c r="D3593" s="23"/>
      <c r="E3593" s="13"/>
      <c r="F3593" s="70"/>
      <c r="G3593" s="78" t="s">
        <v>121</v>
      </c>
      <c r="H3593" s="79" t="s">
        <v>2301</v>
      </c>
    </row>
    <row r="3594" spans="2:9" hidden="1" outlineLevel="1">
      <c r="B3594" s="76"/>
      <c r="C3594" s="9" t="str">
        <f>IF(COUNTIF(C3595:C3598,"Show")&gt;0,"Show","Hide")</f>
        <v>Show</v>
      </c>
      <c r="D3594" s="23"/>
      <c r="E3594" s="13">
        <v>1.2</v>
      </c>
      <c r="F3594" s="71" t="s">
        <v>131</v>
      </c>
      <c r="G3594" s="78"/>
    </row>
    <row r="3595" spans="2:9" hidden="1" outlineLevel="1">
      <c r="B3595" s="76"/>
      <c r="C3595" t="str">
        <f>$D$5990</f>
        <v>Show</v>
      </c>
      <c r="D3595" s="23"/>
      <c r="E3595" s="13"/>
      <c r="F3595" s="70" t="s">
        <v>119</v>
      </c>
      <c r="G3595" s="12" t="s">
        <v>3454</v>
      </c>
    </row>
    <row r="3596" spans="2:9" hidden="1" outlineLevel="1">
      <c r="B3596" s="76"/>
      <c r="C3596" s="9" t="str">
        <f>C3595</f>
        <v>Show</v>
      </c>
      <c r="D3596" s="23"/>
      <c r="E3596" s="13"/>
      <c r="F3596" s="70"/>
      <c r="G3596" s="78" t="s">
        <v>121</v>
      </c>
      <c r="H3596" s="75" t="s">
        <v>2797</v>
      </c>
    </row>
    <row r="3597" spans="2:9" hidden="1" outlineLevel="1">
      <c r="B3597" s="76"/>
      <c r="C3597" t="str">
        <f>$D$5991</f>
        <v>Show</v>
      </c>
      <c r="D3597" s="23"/>
      <c r="E3597" s="13"/>
      <c r="F3597" s="70" t="str">
        <f>CHAR(65+(COUNTIF(C$3595:C3596,"Show")/2))&amp;"."</f>
        <v>B.</v>
      </c>
      <c r="G3597" s="12" t="s">
        <v>3455</v>
      </c>
    </row>
    <row r="3598" spans="2:9" hidden="1" outlineLevel="1">
      <c r="B3598" s="76"/>
      <c r="C3598" s="9" t="str">
        <f>C3597</f>
        <v>Show</v>
      </c>
      <c r="D3598" s="23"/>
      <c r="E3598" s="13"/>
      <c r="F3598" s="70"/>
      <c r="G3598" s="78" t="s">
        <v>121</v>
      </c>
      <c r="H3598" s="75" t="s">
        <v>2798</v>
      </c>
    </row>
    <row r="3599" spans="2:9" hidden="1" outlineLevel="1">
      <c r="B3599" s="76"/>
      <c r="C3599" s="9" t="str">
        <f>C3590</f>
        <v>Show</v>
      </c>
      <c r="D3599" s="23" t="s">
        <v>613</v>
      </c>
      <c r="E3599" s="13"/>
      <c r="G3599" s="13"/>
    </row>
    <row r="3600" spans="2:9" hidden="1" outlineLevel="1">
      <c r="B3600" s="76"/>
      <c r="C3600" s="9" t="str">
        <f>C3590</f>
        <v>Show</v>
      </c>
      <c r="D3600" s="23"/>
      <c r="E3600" s="12" t="str">
        <f>IF(COUNTIF(C3601:C3604,"Show")&gt;0,"2.1 Product Requirements","No EGC Requirements")</f>
        <v>2.1 Product Requirements</v>
      </c>
      <c r="G3600" s="13"/>
    </row>
    <row r="3601" spans="2:9" hidden="1" outlineLevel="1">
      <c r="B3601" s="76"/>
      <c r="C3601" t="str">
        <f>$E$5990</f>
        <v>Show</v>
      </c>
      <c r="D3601" s="23"/>
      <c r="E3601" s="12"/>
      <c r="F3601" s="70" t="s">
        <v>119</v>
      </c>
      <c r="G3601" s="12" t="s">
        <v>3454</v>
      </c>
    </row>
    <row r="3602" spans="2:9" hidden="1" outlineLevel="1">
      <c r="B3602" s="76"/>
      <c r="C3602" s="9" t="str">
        <f>C3601</f>
        <v>Show</v>
      </c>
      <c r="D3602" s="23"/>
      <c r="E3602" s="12"/>
      <c r="G3602" s="30" t="s">
        <v>121</v>
      </c>
      <c r="H3602" s="75" t="s">
        <v>2794</v>
      </c>
    </row>
    <row r="3603" spans="2:9" hidden="1" outlineLevel="1">
      <c r="B3603" s="76"/>
      <c r="C3603" t="str">
        <f>$E$5991</f>
        <v>Show</v>
      </c>
      <c r="D3603" s="23"/>
      <c r="E3603" s="12"/>
      <c r="F3603" s="70" t="str">
        <f>CHAR(65+(COUNTIF(C$3601:C3602,"Show")/2))&amp;"."</f>
        <v>B.</v>
      </c>
      <c r="G3603" s="12" t="s">
        <v>3455</v>
      </c>
    </row>
    <row r="3604" spans="2:9" hidden="1" outlineLevel="1">
      <c r="B3604" s="76"/>
      <c r="C3604" s="9" t="str">
        <f>C3603</f>
        <v>Show</v>
      </c>
      <c r="D3604" s="23"/>
      <c r="E3604" s="12"/>
      <c r="G3604" s="30" t="s">
        <v>121</v>
      </c>
      <c r="H3604" s="75" t="s">
        <v>2795</v>
      </c>
    </row>
    <row r="3605" spans="2:9" hidden="1" outlineLevel="1">
      <c r="B3605" s="76"/>
      <c r="C3605" s="9" t="str">
        <f>C3590</f>
        <v>Show</v>
      </c>
      <c r="D3605" s="23" t="s">
        <v>187</v>
      </c>
      <c r="E3605" s="13"/>
      <c r="G3605" s="13"/>
    </row>
    <row r="3606" spans="2:9" hidden="1" outlineLevel="1">
      <c r="B3606" s="76"/>
      <c r="C3606" s="9" t="str">
        <f>C3590</f>
        <v>Show</v>
      </c>
      <c r="D3606" s="23"/>
      <c r="E3606" s="12" t="str">
        <f>IF(COUNTIF(C3607:C3608,"Show")&gt;0,"3.1 Execution Requirements","No EGC Requirements")</f>
        <v>3.1 Execution Requirements</v>
      </c>
      <c r="G3606" s="13"/>
    </row>
    <row r="3607" spans="2:9" hidden="1" outlineLevel="1">
      <c r="B3607" s="76"/>
      <c r="C3607" t="str">
        <f>$F$5991</f>
        <v>Show</v>
      </c>
      <c r="D3607" s="23"/>
      <c r="E3607" s="13"/>
      <c r="F3607" s="70" t="s">
        <v>119</v>
      </c>
      <c r="G3607" s="12" t="s">
        <v>3455</v>
      </c>
    </row>
    <row r="3608" spans="2:9" ht="30" hidden="1" outlineLevel="1">
      <c r="B3608" s="76"/>
      <c r="C3608" s="9" t="str">
        <f>C3607</f>
        <v>Show</v>
      </c>
      <c r="D3608" s="23"/>
      <c r="E3608" s="13"/>
      <c r="G3608" s="78" t="s">
        <v>121</v>
      </c>
      <c r="H3608" s="75" t="s">
        <v>2796</v>
      </c>
    </row>
    <row r="3609" spans="2:9" hidden="1" outlineLevel="1">
      <c r="B3609" s="76"/>
      <c r="C3609" s="9" t="str">
        <f>C3590</f>
        <v>Show</v>
      </c>
    </row>
    <row r="3610" spans="2:9" collapsed="1">
      <c r="B3610" s="23"/>
      <c r="C3610" s="2" t="str">
        <f>C3611</f>
        <v>Show</v>
      </c>
      <c r="D3610" s="55" t="s">
        <v>296</v>
      </c>
      <c r="E3610" s="55"/>
      <c r="F3610" s="57" t="s">
        <v>297</v>
      </c>
      <c r="G3610" s="58"/>
      <c r="H3610" s="54"/>
      <c r="I3610" s="75"/>
    </row>
    <row r="3611" spans="2:9" hidden="1" outlineLevel="1">
      <c r="B3611" s="76"/>
      <c r="C3611" s="2" t="str">
        <f>IF((COUNTIF(C3615:C3619,"Show")+COUNTIF(C3622:C3627,"Show")+COUNTIF(C3630:C3631,"Show"))&gt;0,"Show","Hide")</f>
        <v>Show</v>
      </c>
      <c r="D3611" s="23" t="s">
        <v>117</v>
      </c>
      <c r="E3611" s="13"/>
      <c r="G3611" s="13"/>
    </row>
    <row r="3612" spans="2:9" hidden="1" outlineLevel="1">
      <c r="B3612" s="76"/>
      <c r="C3612" s="9" t="str">
        <f>C3611</f>
        <v>Show</v>
      </c>
      <c r="D3612" s="23"/>
      <c r="E3612" s="13">
        <v>1.1000000000000001</v>
      </c>
      <c r="F3612" s="11" t="s">
        <v>118</v>
      </c>
      <c r="G3612" s="13"/>
    </row>
    <row r="3613" spans="2:9" hidden="1" outlineLevel="1">
      <c r="B3613" s="76"/>
      <c r="C3613" s="9" t="str">
        <f>C3612</f>
        <v>Show</v>
      </c>
      <c r="D3613" s="23"/>
      <c r="E3613" s="13"/>
      <c r="F3613" s="70" t="s">
        <v>119</v>
      </c>
      <c r="G3613" s="18" t="s">
        <v>677</v>
      </c>
    </row>
    <row r="3614" spans="2:9" hidden="1" outlineLevel="1">
      <c r="B3614" s="76"/>
      <c r="C3614" s="9" t="str">
        <f>C3613</f>
        <v>Show</v>
      </c>
      <c r="D3614" s="23"/>
      <c r="E3614" s="13"/>
      <c r="F3614" s="70"/>
      <c r="G3614" s="78" t="s">
        <v>121</v>
      </c>
      <c r="H3614" s="79" t="s">
        <v>2301</v>
      </c>
    </row>
    <row r="3615" spans="2:9" hidden="1" outlineLevel="1">
      <c r="B3615" s="76"/>
      <c r="C3615" s="9" t="str">
        <f>IF(COUNTIF(C3616:C3619,"Show")&gt;0,"Show","Hide")</f>
        <v>Show</v>
      </c>
      <c r="D3615" s="23"/>
      <c r="E3615" s="13">
        <v>1.2</v>
      </c>
      <c r="F3615" s="71" t="s">
        <v>131</v>
      </c>
      <c r="G3615" s="78"/>
    </row>
    <row r="3616" spans="2:9" hidden="1" outlineLevel="1">
      <c r="B3616" s="76"/>
      <c r="C3616" t="str">
        <f>$D$5976</f>
        <v>Show</v>
      </c>
      <c r="D3616" s="23"/>
      <c r="E3616" s="13"/>
      <c r="F3616" s="70" t="s">
        <v>119</v>
      </c>
      <c r="G3616" s="12" t="s">
        <v>3450</v>
      </c>
    </row>
    <row r="3617" spans="2:8" hidden="1" outlineLevel="1">
      <c r="B3617" s="76"/>
      <c r="C3617" s="9" t="str">
        <f>C3616</f>
        <v>Show</v>
      </c>
      <c r="D3617" s="23"/>
      <c r="E3617" s="13"/>
      <c r="F3617" s="70"/>
      <c r="G3617" s="78" t="s">
        <v>121</v>
      </c>
      <c r="H3617" s="75" t="s">
        <v>2529</v>
      </c>
    </row>
    <row r="3618" spans="2:8" hidden="1" outlineLevel="1">
      <c r="B3618" s="76"/>
      <c r="C3618" t="str">
        <f>$D$5988</f>
        <v>Show</v>
      </c>
      <c r="D3618" s="23"/>
      <c r="E3618" s="13"/>
      <c r="F3618" s="70" t="str">
        <f>CHAR(65+(COUNTIF(C$3616:C3617,"Show")/2))&amp;"."</f>
        <v>B.</v>
      </c>
      <c r="G3618" s="109" t="s">
        <v>3458</v>
      </c>
    </row>
    <row r="3619" spans="2:8" hidden="1" outlineLevel="1">
      <c r="B3619" s="76"/>
      <c r="C3619" s="9" t="str">
        <f>C3618</f>
        <v>Show</v>
      </c>
      <c r="D3619" s="23"/>
      <c r="E3619" s="13"/>
      <c r="F3619" s="70"/>
      <c r="G3619" s="78" t="s">
        <v>121</v>
      </c>
      <c r="H3619" s="75" t="s">
        <v>2806</v>
      </c>
    </row>
    <row r="3620" spans="2:8" hidden="1" outlineLevel="1">
      <c r="B3620" s="76"/>
      <c r="C3620" s="9" t="str">
        <f>C3611</f>
        <v>Show</v>
      </c>
      <c r="D3620" s="23" t="s">
        <v>613</v>
      </c>
      <c r="E3620" s="13"/>
      <c r="G3620" s="13"/>
    </row>
    <row r="3621" spans="2:8" hidden="1" outlineLevel="1">
      <c r="B3621" s="76"/>
      <c r="C3621" s="9" t="str">
        <f>C3611</f>
        <v>Show</v>
      </c>
      <c r="D3621" s="23"/>
      <c r="E3621" s="12" t="str">
        <f>IF(COUNTIF(C3622:C3627,"Show")&gt;0,"2.1 Product Requirements","No EGC Requirements")</f>
        <v>2.1 Product Requirements</v>
      </c>
      <c r="G3621" s="13"/>
    </row>
    <row r="3622" spans="2:8" hidden="1" outlineLevel="1">
      <c r="B3622" s="76"/>
      <c r="C3622" t="str">
        <f>$E$5973</f>
        <v>Show</v>
      </c>
      <c r="D3622" s="23"/>
      <c r="E3622" s="12"/>
      <c r="F3622" s="70" t="s">
        <v>119</v>
      </c>
      <c r="G3622" s="12" t="s">
        <v>3431</v>
      </c>
    </row>
    <row r="3623" spans="2:8" hidden="1" outlineLevel="1">
      <c r="B3623" s="76"/>
      <c r="C3623" s="9" t="str">
        <f>C3622</f>
        <v>Show</v>
      </c>
      <c r="D3623" s="23"/>
      <c r="E3623" s="12"/>
      <c r="G3623" s="30" t="s">
        <v>121</v>
      </c>
      <c r="H3623" s="75" t="s">
        <v>2408</v>
      </c>
    </row>
    <row r="3624" spans="2:8" hidden="1" outlineLevel="1">
      <c r="B3624" s="76"/>
      <c r="C3624" t="str">
        <f>$E$5976</f>
        <v>Show</v>
      </c>
      <c r="D3624" s="23"/>
      <c r="E3624" s="12"/>
      <c r="F3624" s="70" t="str">
        <f>CHAR(65+(COUNTIF(C$3622:C3623,"Show")/2))&amp;"."</f>
        <v>B.</v>
      </c>
      <c r="G3624" s="12" t="s">
        <v>3450</v>
      </c>
    </row>
    <row r="3625" spans="2:8" hidden="1" outlineLevel="1">
      <c r="B3625" s="76"/>
      <c r="C3625" s="9" t="str">
        <f>C3624</f>
        <v>Show</v>
      </c>
      <c r="D3625" s="23"/>
      <c r="E3625" s="12"/>
      <c r="G3625" s="30" t="s">
        <v>121</v>
      </c>
      <c r="H3625" s="75" t="s">
        <v>2530</v>
      </c>
    </row>
    <row r="3626" spans="2:8" hidden="1" outlineLevel="1">
      <c r="B3626" s="76"/>
      <c r="C3626" t="str">
        <f>$E$5988</f>
        <v>Show</v>
      </c>
      <c r="D3626" s="23"/>
      <c r="E3626" s="12"/>
      <c r="F3626" s="70" t="str">
        <f>CHAR(65+(COUNTIF(C$3622:C3625,"Show")/2))&amp;"."</f>
        <v>C.</v>
      </c>
      <c r="G3626" s="109" t="s">
        <v>3458</v>
      </c>
    </row>
    <row r="3627" spans="2:8" hidden="1" outlineLevel="1">
      <c r="B3627" s="76"/>
      <c r="C3627" s="9" t="str">
        <f>C3626</f>
        <v>Show</v>
      </c>
      <c r="D3627" s="23"/>
      <c r="E3627" s="12"/>
      <c r="G3627" s="30" t="s">
        <v>121</v>
      </c>
      <c r="H3627" s="75" t="s">
        <v>2807</v>
      </c>
    </row>
    <row r="3628" spans="2:8" hidden="1" outlineLevel="1">
      <c r="B3628" s="76"/>
      <c r="C3628" s="9" t="str">
        <f>C3611</f>
        <v>Show</v>
      </c>
      <c r="D3628" s="23" t="s">
        <v>187</v>
      </c>
      <c r="E3628" s="13"/>
      <c r="G3628" s="13"/>
    </row>
    <row r="3629" spans="2:8" hidden="1" outlineLevel="1">
      <c r="B3629" s="76"/>
      <c r="C3629" s="9" t="str">
        <f>C3611</f>
        <v>Show</v>
      </c>
      <c r="D3629" s="23"/>
      <c r="E3629" s="12" t="str">
        <f>IF(COUNTIF(C3630:C3631,"Show")&gt;0,"3.1 Execution Requirements","No EGC Requirements")</f>
        <v>3.1 Execution Requirements</v>
      </c>
      <c r="G3629" s="13"/>
    </row>
    <row r="3630" spans="2:8" hidden="1" outlineLevel="1">
      <c r="B3630" s="76"/>
      <c r="C3630" t="str">
        <f>$F$5988</f>
        <v>Show</v>
      </c>
      <c r="D3630" s="23"/>
      <c r="E3630" s="13"/>
      <c r="F3630" s="70" t="s">
        <v>119</v>
      </c>
      <c r="G3630" s="109" t="s">
        <v>3458</v>
      </c>
    </row>
    <row r="3631" spans="2:8" ht="30" hidden="1" outlineLevel="1">
      <c r="B3631" s="76"/>
      <c r="C3631" s="9" t="str">
        <f>C3630</f>
        <v>Show</v>
      </c>
      <c r="D3631" s="23"/>
      <c r="E3631" s="13"/>
      <c r="G3631" s="78" t="s">
        <v>121</v>
      </c>
      <c r="H3631" s="75" t="s">
        <v>2813</v>
      </c>
    </row>
    <row r="3632" spans="2:8" hidden="1" outlineLevel="1">
      <c r="B3632" s="76"/>
      <c r="C3632" s="9" t="str">
        <f>C3611</f>
        <v>Show</v>
      </c>
    </row>
    <row r="3633" spans="2:9" collapsed="1">
      <c r="B3633" s="23"/>
      <c r="C3633" s="2" t="str">
        <f>C3634</f>
        <v>Show</v>
      </c>
      <c r="D3633" s="55" t="s">
        <v>1671</v>
      </c>
      <c r="E3633" s="55"/>
      <c r="F3633" s="57" t="s">
        <v>1657</v>
      </c>
      <c r="G3633" s="58"/>
      <c r="H3633" s="54"/>
      <c r="I3633" s="75"/>
    </row>
    <row r="3634" spans="2:9" hidden="1" outlineLevel="1">
      <c r="B3634" s="76"/>
      <c r="C3634" s="2" t="str">
        <f>IF((COUNTIF(C3638:C3642,"Show")+COUNTIF(C3645:C3648,"Show")+COUNTIF(C3651:C3652,"Show"))&gt;0,"Show","Hide")</f>
        <v>Show</v>
      </c>
      <c r="D3634" s="23" t="s">
        <v>117</v>
      </c>
      <c r="E3634" s="13"/>
      <c r="G3634" s="13"/>
    </row>
    <row r="3635" spans="2:9" hidden="1" outlineLevel="1">
      <c r="B3635" s="76"/>
      <c r="C3635" s="9" t="str">
        <f>C3634</f>
        <v>Show</v>
      </c>
      <c r="D3635" s="23"/>
      <c r="E3635" s="13">
        <v>1.1000000000000001</v>
      </c>
      <c r="F3635" s="11" t="s">
        <v>118</v>
      </c>
      <c r="G3635" s="13"/>
    </row>
    <row r="3636" spans="2:9" hidden="1" outlineLevel="1">
      <c r="B3636" s="76"/>
      <c r="C3636" s="9" t="str">
        <f>C3635</f>
        <v>Show</v>
      </c>
      <c r="D3636" s="23"/>
      <c r="E3636" s="13"/>
      <c r="F3636" s="70" t="s">
        <v>119</v>
      </c>
      <c r="G3636" s="18" t="s">
        <v>677</v>
      </c>
    </row>
    <row r="3637" spans="2:9" hidden="1" outlineLevel="1">
      <c r="B3637" s="76"/>
      <c r="C3637" s="9" t="str">
        <f>C3636</f>
        <v>Show</v>
      </c>
      <c r="D3637" s="23"/>
      <c r="E3637" s="13"/>
      <c r="F3637" s="70"/>
      <c r="G3637" s="78" t="s">
        <v>121</v>
      </c>
      <c r="H3637" s="79" t="s">
        <v>2301</v>
      </c>
    </row>
    <row r="3638" spans="2:9" hidden="1" outlineLevel="1">
      <c r="B3638" s="76"/>
      <c r="C3638" s="9" t="str">
        <f>IF(COUNTIF(C3639:C3642,"Show")&gt;0,"Show","Hide")</f>
        <v>Show</v>
      </c>
      <c r="D3638" s="23"/>
      <c r="E3638" s="13">
        <v>1.2</v>
      </c>
      <c r="F3638" s="71" t="s">
        <v>131</v>
      </c>
      <c r="G3638" s="78"/>
    </row>
    <row r="3639" spans="2:9" hidden="1" outlineLevel="1">
      <c r="B3639" s="76"/>
      <c r="C3639" t="str">
        <f>$D$5976</f>
        <v>Show</v>
      </c>
      <c r="D3639" s="23"/>
      <c r="E3639" s="13"/>
      <c r="F3639" s="70" t="s">
        <v>119</v>
      </c>
      <c r="G3639" s="12" t="s">
        <v>3450</v>
      </c>
    </row>
    <row r="3640" spans="2:9" hidden="1" outlineLevel="1">
      <c r="B3640" s="76"/>
      <c r="C3640" s="9" t="str">
        <f>C3639</f>
        <v>Show</v>
      </c>
      <c r="D3640" s="23"/>
      <c r="E3640" s="13"/>
      <c r="F3640" s="70"/>
      <c r="G3640" s="78" t="s">
        <v>121</v>
      </c>
      <c r="H3640" s="75" t="s">
        <v>2529</v>
      </c>
    </row>
    <row r="3641" spans="2:9" hidden="1" outlineLevel="1">
      <c r="B3641" s="76"/>
      <c r="C3641" t="str">
        <f>$D$5994</f>
        <v>Show</v>
      </c>
      <c r="D3641" s="23"/>
      <c r="E3641" s="13"/>
      <c r="F3641" s="70" t="str">
        <f>CHAR(65+(COUNTIF(C$3639:C3640,"Show")/2))&amp;"."</f>
        <v>B.</v>
      </c>
      <c r="G3641" s="109" t="s">
        <v>3459</v>
      </c>
    </row>
    <row r="3642" spans="2:9" hidden="1" outlineLevel="1">
      <c r="B3642" s="76"/>
      <c r="C3642" s="9" t="str">
        <f>C3641</f>
        <v>Show</v>
      </c>
      <c r="D3642" s="23"/>
      <c r="E3642" s="13"/>
      <c r="F3642" s="70"/>
      <c r="G3642" s="78" t="s">
        <v>121</v>
      </c>
      <c r="H3642" s="75" t="s">
        <v>2810</v>
      </c>
    </row>
    <row r="3643" spans="2:9" hidden="1" outlineLevel="1">
      <c r="B3643" s="76"/>
      <c r="C3643" s="9" t="str">
        <f>C3634</f>
        <v>Show</v>
      </c>
      <c r="D3643" s="23" t="s">
        <v>613</v>
      </c>
      <c r="E3643" s="13"/>
      <c r="G3643" s="13"/>
    </row>
    <row r="3644" spans="2:9" hidden="1" outlineLevel="1">
      <c r="B3644" s="76"/>
      <c r="C3644" s="9" t="str">
        <f>C3634</f>
        <v>Show</v>
      </c>
      <c r="D3644" s="23"/>
      <c r="E3644" s="12" t="str">
        <f>IF(COUNTIF(C3645:C3648,"Show")&gt;0,"2.1 Product Requirements","No EGC Requirements")</f>
        <v>2.1 Product Requirements</v>
      </c>
      <c r="G3644" s="13"/>
    </row>
    <row r="3645" spans="2:9" hidden="1" outlineLevel="1">
      <c r="B3645" s="76"/>
      <c r="C3645" t="str">
        <f>$E$5976</f>
        <v>Show</v>
      </c>
      <c r="D3645" s="23"/>
      <c r="E3645" s="12"/>
      <c r="F3645" s="70" t="s">
        <v>119</v>
      </c>
      <c r="G3645" s="12" t="s">
        <v>3450</v>
      </c>
    </row>
    <row r="3646" spans="2:9" hidden="1" outlineLevel="1">
      <c r="B3646" s="76"/>
      <c r="C3646" s="9" t="str">
        <f>C3645</f>
        <v>Show</v>
      </c>
      <c r="D3646" s="23"/>
      <c r="E3646" s="12"/>
      <c r="G3646" s="30" t="s">
        <v>121</v>
      </c>
      <c r="H3646" s="75" t="s">
        <v>2530</v>
      </c>
    </row>
    <row r="3647" spans="2:9" hidden="1" outlineLevel="1">
      <c r="B3647" s="76"/>
      <c r="C3647" t="str">
        <f>$E$5994</f>
        <v>Show</v>
      </c>
      <c r="D3647" s="23"/>
      <c r="E3647" s="12"/>
      <c r="F3647" s="70" t="str">
        <f>CHAR(65+(COUNTIF(C$3645:C3646,"Show")/2))&amp;"."</f>
        <v>B.</v>
      </c>
      <c r="G3647" s="109" t="s">
        <v>3459</v>
      </c>
    </row>
    <row r="3648" spans="2:9" hidden="1" outlineLevel="1">
      <c r="B3648" s="76"/>
      <c r="C3648" s="9" t="str">
        <f>C3647</f>
        <v>Show</v>
      </c>
      <c r="D3648" s="23"/>
      <c r="E3648" s="12"/>
      <c r="G3648" s="30" t="s">
        <v>121</v>
      </c>
      <c r="H3648" s="75" t="s">
        <v>2809</v>
      </c>
    </row>
    <row r="3649" spans="2:9" hidden="1" outlineLevel="1">
      <c r="B3649" s="76"/>
      <c r="C3649" s="9" t="str">
        <f>C3634</f>
        <v>Show</v>
      </c>
      <c r="D3649" s="23" t="s">
        <v>187</v>
      </c>
      <c r="E3649" s="13"/>
      <c r="G3649" s="13"/>
    </row>
    <row r="3650" spans="2:9" hidden="1" outlineLevel="1">
      <c r="B3650" s="76"/>
      <c r="C3650" s="9" t="str">
        <f>C3634</f>
        <v>Show</v>
      </c>
      <c r="D3650" s="23"/>
      <c r="E3650" s="12" t="str">
        <f>IF(COUNTIF(C3651:C3652,"Show")&gt;0,"3.1 Execution Requirements","No EGC Requirements")</f>
        <v>3.1 Execution Requirements</v>
      </c>
      <c r="G3650" s="13"/>
    </row>
    <row r="3651" spans="2:9" hidden="1" outlineLevel="1">
      <c r="B3651" s="76"/>
      <c r="C3651" t="str">
        <f>$F$5994</f>
        <v>Show</v>
      </c>
      <c r="D3651" s="23"/>
      <c r="E3651" s="13"/>
      <c r="F3651" s="70" t="s">
        <v>119</v>
      </c>
      <c r="G3651" s="109" t="s">
        <v>3459</v>
      </c>
    </row>
    <row r="3652" spans="2:9" ht="30" hidden="1" outlineLevel="1">
      <c r="B3652" s="76"/>
      <c r="C3652" s="9" t="str">
        <f>C3651</f>
        <v>Show</v>
      </c>
      <c r="D3652" s="23"/>
      <c r="E3652" s="13"/>
      <c r="G3652" s="78" t="s">
        <v>121</v>
      </c>
      <c r="H3652" s="75" t="s">
        <v>2815</v>
      </c>
    </row>
    <row r="3653" spans="2:9" hidden="1" outlineLevel="1">
      <c r="B3653" s="76"/>
      <c r="C3653" s="9" t="str">
        <f>C3634</f>
        <v>Show</v>
      </c>
    </row>
    <row r="3654" spans="2:9" collapsed="1">
      <c r="B3654" s="76"/>
      <c r="C3654" s="7" t="s">
        <v>116</v>
      </c>
      <c r="D3654" s="80"/>
      <c r="E3654" s="132"/>
      <c r="F3654" s="12"/>
      <c r="G3654" s="69"/>
      <c r="I3654" s="75"/>
    </row>
    <row r="3655" spans="2:9">
      <c r="B3655" s="76"/>
      <c r="C3655" s="7" t="s">
        <v>116</v>
      </c>
      <c r="D3655" s="38" t="s">
        <v>554</v>
      </c>
      <c r="E3655" s="45"/>
      <c r="F3655" s="46"/>
      <c r="G3655" s="39"/>
      <c r="H3655" s="41"/>
      <c r="I3655" s="75"/>
    </row>
    <row r="3656" spans="2:9">
      <c r="B3656" s="23"/>
      <c r="C3656" s="2" t="str">
        <f>C3657</f>
        <v>Show</v>
      </c>
      <c r="D3656" s="55" t="s">
        <v>298</v>
      </c>
      <c r="E3656" s="55"/>
      <c r="F3656" s="57" t="s">
        <v>299</v>
      </c>
      <c r="G3656" s="53"/>
      <c r="H3656" s="54"/>
      <c r="I3656" s="75"/>
    </row>
    <row r="3657" spans="2:9" hidden="1" outlineLevel="1">
      <c r="B3657" s="76"/>
      <c r="C3657" s="2" t="str">
        <f>IF((COUNTIF(C3661:C3669,"Show")+COUNTIF(C3672:C3677,"Show")+COUNTIF(C3680:C3687,"Show"))&gt;0,"Show","Hide")</f>
        <v>Show</v>
      </c>
      <c r="D3657" s="23" t="s">
        <v>117</v>
      </c>
      <c r="E3657" s="13"/>
      <c r="G3657" s="13"/>
    </row>
    <row r="3658" spans="2:9" hidden="1" outlineLevel="1">
      <c r="B3658" s="76"/>
      <c r="C3658" s="9" t="str">
        <f>C3657</f>
        <v>Show</v>
      </c>
      <c r="D3658" s="23"/>
      <c r="E3658" s="13">
        <v>1.1000000000000001</v>
      </c>
      <c r="F3658" s="11" t="s">
        <v>118</v>
      </c>
      <c r="G3658" s="13"/>
    </row>
    <row r="3659" spans="2:9" hidden="1" outlineLevel="1">
      <c r="B3659" s="76"/>
      <c r="C3659" s="9" t="str">
        <f>C3658</f>
        <v>Show</v>
      </c>
      <c r="D3659" s="23"/>
      <c r="E3659" s="13"/>
      <c r="F3659" s="70" t="s">
        <v>119</v>
      </c>
      <c r="G3659" s="18" t="s">
        <v>677</v>
      </c>
    </row>
    <row r="3660" spans="2:9" hidden="1" outlineLevel="1">
      <c r="B3660" s="76"/>
      <c r="C3660" s="9" t="str">
        <f>C3659</f>
        <v>Show</v>
      </c>
      <c r="D3660" s="23"/>
      <c r="E3660" s="13"/>
      <c r="F3660" s="70"/>
      <c r="G3660" s="78" t="s">
        <v>121</v>
      </c>
      <c r="H3660" s="79" t="s">
        <v>2301</v>
      </c>
    </row>
    <row r="3661" spans="2:9" hidden="1" outlineLevel="1">
      <c r="B3661" s="76"/>
      <c r="C3661" s="9" t="str">
        <f>IF(COUNTIF(C3662:C3669,"Show")&gt;0,"Show","Hide")</f>
        <v>Show</v>
      </c>
      <c r="D3661" s="23"/>
      <c r="E3661" s="13">
        <v>1.2</v>
      </c>
      <c r="F3661" s="71" t="s">
        <v>131</v>
      </c>
      <c r="G3661" s="78"/>
    </row>
    <row r="3662" spans="2:9" hidden="1" outlineLevel="1">
      <c r="B3662" s="76"/>
      <c r="C3662" t="str">
        <f>$D$5940</f>
        <v>Show</v>
      </c>
      <c r="D3662" s="23"/>
      <c r="E3662" s="13"/>
      <c r="F3662" s="70" t="s">
        <v>119</v>
      </c>
      <c r="G3662" s="12" t="s">
        <v>3461</v>
      </c>
    </row>
    <row r="3663" spans="2:9" hidden="1" outlineLevel="1">
      <c r="B3663" s="76"/>
      <c r="C3663" s="9" t="str">
        <f>C3662</f>
        <v>Show</v>
      </c>
      <c r="D3663" s="23"/>
      <c r="E3663" s="13"/>
      <c r="F3663" s="71"/>
      <c r="G3663" s="78" t="s">
        <v>121</v>
      </c>
      <c r="H3663" s="75" t="s">
        <v>2816</v>
      </c>
    </row>
    <row r="3664" spans="2:9" hidden="1" outlineLevel="1">
      <c r="B3664" s="76"/>
      <c r="C3664" t="str">
        <f>$D$5993</f>
        <v>Show</v>
      </c>
      <c r="D3664" s="23"/>
      <c r="E3664" s="13"/>
      <c r="F3664" s="70" t="str">
        <f>CHAR(65+(COUNTIF(C$3662:C3663,"Show")/2))&amp;"."</f>
        <v>B.</v>
      </c>
      <c r="G3664" s="109" t="s">
        <v>3453</v>
      </c>
    </row>
    <row r="3665" spans="2:8" ht="30" hidden="1" outlineLevel="1">
      <c r="B3665" s="76"/>
      <c r="C3665" s="9" t="str">
        <f>C3664</f>
        <v>Show</v>
      </c>
      <c r="D3665" s="23"/>
      <c r="E3665" s="13"/>
      <c r="F3665" s="70"/>
      <c r="G3665" s="78" t="s">
        <v>121</v>
      </c>
      <c r="H3665" s="75" t="s">
        <v>2817</v>
      </c>
    </row>
    <row r="3666" spans="2:8" hidden="1" outlineLevel="1">
      <c r="B3666" s="76"/>
      <c r="C3666" t="str">
        <f>$D$5995</f>
        <v>Show</v>
      </c>
      <c r="D3666" s="23"/>
      <c r="E3666" s="13"/>
      <c r="F3666" s="70" t="str">
        <f>CHAR(65+(COUNTIF(C$3662:C3665,"Show")/2))&amp;"."</f>
        <v>C.</v>
      </c>
      <c r="G3666" s="109" t="s">
        <v>3460</v>
      </c>
    </row>
    <row r="3667" spans="2:8" hidden="1" outlineLevel="1">
      <c r="B3667" s="76"/>
      <c r="C3667" s="9" t="str">
        <f>C3666</f>
        <v>Show</v>
      </c>
      <c r="D3667" s="23"/>
      <c r="E3667" s="13"/>
      <c r="F3667" s="70"/>
      <c r="G3667" s="78" t="s">
        <v>121</v>
      </c>
      <c r="H3667" s="75" t="s">
        <v>2811</v>
      </c>
    </row>
    <row r="3668" spans="2:8" hidden="1" outlineLevel="1">
      <c r="B3668" s="76"/>
      <c r="C3668" t="str">
        <f>$D$5996</f>
        <v>Show</v>
      </c>
      <c r="D3668" s="23"/>
      <c r="E3668" s="13"/>
      <c r="F3668" s="70" t="str">
        <f>CHAR(65+(COUNTIF(C$3662:C3667,"Show")/2))&amp;"."</f>
        <v>D.</v>
      </c>
      <c r="G3668" s="109" t="s">
        <v>3457</v>
      </c>
    </row>
    <row r="3669" spans="2:8" hidden="1" outlineLevel="1">
      <c r="B3669" s="76"/>
      <c r="C3669" s="9" t="str">
        <f>C3668</f>
        <v>Show</v>
      </c>
      <c r="D3669" s="23"/>
      <c r="E3669" s="13"/>
      <c r="F3669" s="70"/>
      <c r="G3669" s="78" t="s">
        <v>121</v>
      </c>
      <c r="H3669" s="75" t="s">
        <v>2804</v>
      </c>
    </row>
    <row r="3670" spans="2:8" hidden="1" outlineLevel="1">
      <c r="B3670" s="76"/>
      <c r="C3670" s="9" t="str">
        <f>C3657</f>
        <v>Show</v>
      </c>
      <c r="D3670" s="23" t="s">
        <v>613</v>
      </c>
      <c r="E3670" s="13"/>
      <c r="G3670" s="13"/>
    </row>
    <row r="3671" spans="2:8" hidden="1" outlineLevel="1">
      <c r="B3671" s="76"/>
      <c r="C3671" s="9" t="str">
        <f>C3657</f>
        <v>Show</v>
      </c>
      <c r="D3671" s="23"/>
      <c r="E3671" s="12" t="str">
        <f>IF(COUNTIF(C3672:C3677,"Show")&gt;0,"2.1 Product Requirements","No EGC Requirements")</f>
        <v>2.1 Product Requirements</v>
      </c>
      <c r="G3671" s="13"/>
    </row>
    <row r="3672" spans="2:8" hidden="1" outlineLevel="1">
      <c r="B3672" s="76"/>
      <c r="C3672" t="str">
        <f>$E$5976</f>
        <v>Show</v>
      </c>
      <c r="D3672" s="23"/>
      <c r="E3672" s="12"/>
      <c r="F3672" s="70" t="s">
        <v>119</v>
      </c>
      <c r="G3672" s="109" t="s">
        <v>3453</v>
      </c>
    </row>
    <row r="3673" spans="2:8" ht="30" hidden="1" outlineLevel="1">
      <c r="B3673" s="76"/>
      <c r="C3673" s="9" t="str">
        <f>C3672</f>
        <v>Show</v>
      </c>
      <c r="D3673" s="23"/>
      <c r="E3673" s="12"/>
      <c r="G3673" s="30" t="s">
        <v>121</v>
      </c>
      <c r="H3673" s="75" t="s">
        <v>2820</v>
      </c>
    </row>
    <row r="3674" spans="2:8" hidden="1" outlineLevel="1">
      <c r="B3674" s="76"/>
      <c r="C3674" t="str">
        <f>$E$5995</f>
        <v>Show</v>
      </c>
      <c r="D3674" s="23"/>
      <c r="E3674" s="12"/>
      <c r="F3674" s="70" t="str">
        <f>CHAR(65+(COUNTIF(C$3672:C3673,"Show")/2))&amp;"."</f>
        <v>B.</v>
      </c>
      <c r="G3674" s="109" t="s">
        <v>3460</v>
      </c>
    </row>
    <row r="3675" spans="2:8" hidden="1" outlineLevel="1">
      <c r="B3675" s="76"/>
      <c r="C3675" s="9" t="str">
        <f>C3674</f>
        <v>Show</v>
      </c>
      <c r="D3675" s="23"/>
      <c r="E3675" s="12"/>
      <c r="G3675" s="78" t="s">
        <v>121</v>
      </c>
      <c r="H3675" s="75" t="s">
        <v>2812</v>
      </c>
    </row>
    <row r="3676" spans="2:8" hidden="1" outlineLevel="1">
      <c r="B3676" s="76"/>
      <c r="C3676" t="str">
        <f>$E$5996</f>
        <v>Show</v>
      </c>
      <c r="D3676" s="23"/>
      <c r="E3676" s="12"/>
      <c r="F3676" s="70" t="str">
        <f>CHAR(65+(COUNTIF(C$3672:C3675,"Show")/2))&amp;"."</f>
        <v>C.</v>
      </c>
      <c r="G3676" s="109" t="s">
        <v>3457</v>
      </c>
    </row>
    <row r="3677" spans="2:8" hidden="1" outlineLevel="1">
      <c r="B3677" s="76"/>
      <c r="C3677" s="9" t="str">
        <f>C3676</f>
        <v>Show</v>
      </c>
      <c r="D3677" s="23"/>
      <c r="E3677" s="12"/>
      <c r="G3677" s="78" t="s">
        <v>121</v>
      </c>
      <c r="H3677" s="75" t="s">
        <v>2803</v>
      </c>
    </row>
    <row r="3678" spans="2:8" hidden="1" outlineLevel="1">
      <c r="B3678" s="76"/>
      <c r="C3678" s="9" t="str">
        <f>C3657</f>
        <v>Show</v>
      </c>
      <c r="D3678" s="23" t="s">
        <v>187</v>
      </c>
      <c r="E3678" s="13"/>
      <c r="G3678" s="13"/>
    </row>
    <row r="3679" spans="2:8" hidden="1" outlineLevel="1">
      <c r="B3679" s="76"/>
      <c r="C3679" s="9" t="str">
        <f>C3657</f>
        <v>Show</v>
      </c>
      <c r="D3679" s="23"/>
      <c r="E3679" s="12" t="str">
        <f>IF(COUNTIF(C3680:C3687,"Show")&gt;0,"3.1 Execution Requirements","No EGC Requirements")</f>
        <v>3.1 Execution Requirements</v>
      </c>
      <c r="G3679" s="13"/>
    </row>
    <row r="3680" spans="2:8" hidden="1" outlineLevel="1">
      <c r="B3680" s="76"/>
      <c r="C3680" t="str">
        <f>$F$5940</f>
        <v>Show</v>
      </c>
      <c r="D3680" s="23"/>
      <c r="E3680" s="12"/>
      <c r="F3680" s="70" t="s">
        <v>119</v>
      </c>
      <c r="G3680" s="12" t="s">
        <v>3461</v>
      </c>
    </row>
    <row r="3681" spans="2:9" hidden="1" outlineLevel="1">
      <c r="B3681" s="76"/>
      <c r="C3681" s="9" t="str">
        <f>C3680</f>
        <v>Show</v>
      </c>
      <c r="D3681" s="23"/>
      <c r="E3681" s="12"/>
      <c r="G3681" s="78" t="s">
        <v>121</v>
      </c>
      <c r="H3681" s="75" t="s">
        <v>2818</v>
      </c>
    </row>
    <row r="3682" spans="2:9" hidden="1" outlineLevel="1">
      <c r="B3682" s="76"/>
      <c r="C3682" t="str">
        <f>$F$5993</f>
        <v>Show</v>
      </c>
      <c r="D3682" s="23"/>
      <c r="E3682" s="13"/>
      <c r="F3682" s="70" t="str">
        <f>CHAR(65+(COUNTIF(C$3680:C3681,"Show")/2))&amp;"."</f>
        <v>B.</v>
      </c>
      <c r="G3682" s="109" t="s">
        <v>3453</v>
      </c>
    </row>
    <row r="3683" spans="2:9" ht="30" hidden="1" outlineLevel="1">
      <c r="B3683" s="76"/>
      <c r="C3683" s="9" t="str">
        <f>C3682</f>
        <v>Show</v>
      </c>
      <c r="D3683" s="23"/>
      <c r="E3683" s="13"/>
      <c r="G3683" s="78" t="s">
        <v>121</v>
      </c>
      <c r="H3683" s="75" t="s">
        <v>2819</v>
      </c>
    </row>
    <row r="3684" spans="2:9" hidden="1" outlineLevel="1">
      <c r="B3684" s="76"/>
      <c r="C3684" t="str">
        <f>$F$5995</f>
        <v>Show</v>
      </c>
      <c r="D3684" s="23"/>
      <c r="E3684" s="13"/>
      <c r="F3684" s="70" t="str">
        <f>CHAR(65+(COUNTIF(C$3680:C3683,"Show")/2))&amp;"."</f>
        <v>C.</v>
      </c>
      <c r="G3684" s="109" t="s">
        <v>3460</v>
      </c>
    </row>
    <row r="3685" spans="2:9" ht="30" hidden="1" outlineLevel="1">
      <c r="B3685" s="76"/>
      <c r="C3685" s="9" t="str">
        <f>C3684</f>
        <v>Show</v>
      </c>
      <c r="D3685" s="23"/>
      <c r="E3685" s="13"/>
      <c r="F3685" s="70"/>
      <c r="G3685" s="78" t="s">
        <v>121</v>
      </c>
      <c r="H3685" s="75" t="s">
        <v>2814</v>
      </c>
    </row>
    <row r="3686" spans="2:9" hidden="1" outlineLevel="1">
      <c r="B3686" s="76"/>
      <c r="C3686" t="str">
        <f>$F$5996</f>
        <v>Show</v>
      </c>
      <c r="D3686" s="23"/>
      <c r="E3686" s="13"/>
      <c r="F3686" s="70" t="str">
        <f>CHAR(65+(COUNTIF(C$3680:C3685,"Show")/2))&amp;"."</f>
        <v>D.</v>
      </c>
      <c r="G3686" s="109" t="s">
        <v>3457</v>
      </c>
    </row>
    <row r="3687" spans="2:9" ht="30" hidden="1" outlineLevel="1">
      <c r="B3687" s="76"/>
      <c r="C3687" s="9" t="str">
        <f>C3686</f>
        <v>Show</v>
      </c>
      <c r="D3687" s="23"/>
      <c r="E3687" s="13"/>
      <c r="G3687" s="78" t="s">
        <v>121</v>
      </c>
      <c r="H3687" s="75" t="s">
        <v>2802</v>
      </c>
    </row>
    <row r="3688" spans="2:9" hidden="1" outlineLevel="1">
      <c r="B3688" s="76"/>
      <c r="C3688" s="9" t="str">
        <f>C3657</f>
        <v>Show</v>
      </c>
    </row>
    <row r="3689" spans="2:9" collapsed="1">
      <c r="B3689" s="23"/>
      <c r="C3689" s="2" t="str">
        <f>C3690</f>
        <v>Show</v>
      </c>
      <c r="D3689" s="55" t="s">
        <v>1673</v>
      </c>
      <c r="E3689" s="55"/>
      <c r="F3689" s="57" t="s">
        <v>1658</v>
      </c>
      <c r="G3689" s="53"/>
      <c r="H3689" s="54"/>
      <c r="I3689" s="75"/>
    </row>
    <row r="3690" spans="2:9" hidden="1" outlineLevel="1">
      <c r="B3690" s="76"/>
      <c r="C3690" s="2" t="str">
        <f>IF((COUNTIF(C3694:C3696,"Show")+COUNTIF(C3699:C3700,"Show")+COUNTIF(C3703:C3704,"Show"))&gt;0,"Show","Hide")</f>
        <v>Show</v>
      </c>
      <c r="D3690" s="23" t="s">
        <v>117</v>
      </c>
      <c r="E3690" s="13"/>
      <c r="G3690" s="13"/>
    </row>
    <row r="3691" spans="2:9" hidden="1" outlineLevel="1">
      <c r="B3691" s="76"/>
      <c r="C3691" s="9" t="str">
        <f>C3690</f>
        <v>Show</v>
      </c>
      <c r="D3691" s="23"/>
      <c r="E3691" s="13">
        <v>1.1000000000000001</v>
      </c>
      <c r="F3691" s="11" t="s">
        <v>118</v>
      </c>
      <c r="G3691" s="13"/>
    </row>
    <row r="3692" spans="2:9" hidden="1" outlineLevel="1">
      <c r="B3692" s="76"/>
      <c r="C3692" s="9" t="str">
        <f>C3691</f>
        <v>Show</v>
      </c>
      <c r="D3692" s="23"/>
      <c r="E3692" s="13"/>
      <c r="F3692" s="70" t="s">
        <v>119</v>
      </c>
      <c r="G3692" s="18" t="s">
        <v>677</v>
      </c>
    </row>
    <row r="3693" spans="2:9" hidden="1" outlineLevel="1">
      <c r="B3693" s="76"/>
      <c r="C3693" s="9" t="str">
        <f>C3692</f>
        <v>Show</v>
      </c>
      <c r="D3693" s="23"/>
      <c r="E3693" s="13"/>
      <c r="F3693" s="70"/>
      <c r="G3693" s="78" t="s">
        <v>121</v>
      </c>
      <c r="H3693" s="79" t="s">
        <v>2301</v>
      </c>
    </row>
    <row r="3694" spans="2:9" hidden="1" outlineLevel="1">
      <c r="B3694" s="76"/>
      <c r="C3694" s="9" t="str">
        <f>IF(COUNTIF(C3695:C3696,"Show")&gt;0,"Show","Hide")</f>
        <v>Show</v>
      </c>
      <c r="D3694" s="23"/>
      <c r="E3694" s="13">
        <v>1.2</v>
      </c>
      <c r="F3694" s="71" t="s">
        <v>131</v>
      </c>
      <c r="G3694" s="78"/>
    </row>
    <row r="3695" spans="2:9" hidden="1" outlineLevel="1">
      <c r="B3695" s="76"/>
      <c r="C3695" t="str">
        <f>$D$5993</f>
        <v>Show</v>
      </c>
      <c r="D3695" s="23"/>
      <c r="E3695" s="13"/>
      <c r="F3695" s="70" t="s">
        <v>119</v>
      </c>
      <c r="G3695" s="109" t="s">
        <v>3453</v>
      </c>
    </row>
    <row r="3696" spans="2:9" ht="30" hidden="1" outlineLevel="1">
      <c r="B3696" s="76"/>
      <c r="C3696" s="9" t="str">
        <f>C3695</f>
        <v>Show</v>
      </c>
      <c r="D3696" s="23"/>
      <c r="E3696" s="13"/>
      <c r="F3696" s="70"/>
      <c r="G3696" s="78" t="s">
        <v>121</v>
      </c>
      <c r="H3696" s="75" t="s">
        <v>2821</v>
      </c>
    </row>
    <row r="3697" spans="2:9" hidden="1" outlineLevel="1">
      <c r="B3697" s="76"/>
      <c r="C3697" s="9" t="str">
        <f>C3690</f>
        <v>Show</v>
      </c>
      <c r="D3697" s="23" t="s">
        <v>613</v>
      </c>
      <c r="E3697" s="13"/>
      <c r="G3697" s="13"/>
    </row>
    <row r="3698" spans="2:9" hidden="1" outlineLevel="1">
      <c r="B3698" s="76"/>
      <c r="C3698" s="9" t="str">
        <f>C3690</f>
        <v>Show</v>
      </c>
      <c r="D3698" s="23"/>
      <c r="E3698" s="12" t="str">
        <f>IF(COUNTIF(C3699:C3700,"Show")&gt;0,"2.1 Product Requirements","No EGC Requirements")</f>
        <v>2.1 Product Requirements</v>
      </c>
      <c r="G3698" s="13"/>
    </row>
    <row r="3699" spans="2:9" hidden="1" outlineLevel="1">
      <c r="B3699" s="76"/>
      <c r="C3699" t="str">
        <f>$E$5976</f>
        <v>Show</v>
      </c>
      <c r="D3699" s="23"/>
      <c r="E3699" s="12"/>
      <c r="F3699" s="70" t="s">
        <v>119</v>
      </c>
      <c r="G3699" s="109" t="s">
        <v>3453</v>
      </c>
    </row>
    <row r="3700" spans="2:9" ht="30" hidden="1" outlineLevel="1">
      <c r="B3700" s="76"/>
      <c r="C3700" s="9" t="str">
        <f>C3699</f>
        <v>Show</v>
      </c>
      <c r="D3700" s="23"/>
      <c r="E3700" s="12"/>
      <c r="G3700" s="30" t="s">
        <v>121</v>
      </c>
      <c r="H3700" s="75" t="s">
        <v>2822</v>
      </c>
    </row>
    <row r="3701" spans="2:9" hidden="1" outlineLevel="1">
      <c r="B3701" s="76"/>
      <c r="C3701" s="9" t="str">
        <f>C3690</f>
        <v>Show</v>
      </c>
      <c r="D3701" s="23" t="s">
        <v>187</v>
      </c>
      <c r="E3701" s="13"/>
      <c r="G3701" s="13"/>
    </row>
    <row r="3702" spans="2:9" hidden="1" outlineLevel="1">
      <c r="B3702" s="76"/>
      <c r="C3702" s="9" t="str">
        <f>C3690</f>
        <v>Show</v>
      </c>
      <c r="D3702" s="23"/>
      <c r="E3702" s="12" t="str">
        <f>IF(COUNTIF(C3703:C3704,"Show")&gt;0,"3.1 Execution Requirements","No EGC Requirements")</f>
        <v>3.1 Execution Requirements</v>
      </c>
      <c r="G3702" s="13"/>
    </row>
    <row r="3703" spans="2:9" hidden="1" outlineLevel="1">
      <c r="B3703" s="76"/>
      <c r="C3703" t="str">
        <f>$F$5993</f>
        <v>Show</v>
      </c>
      <c r="D3703" s="23"/>
      <c r="E3703" s="13"/>
      <c r="F3703" s="70" t="s">
        <v>119</v>
      </c>
      <c r="G3703" s="109" t="s">
        <v>3453</v>
      </c>
    </row>
    <row r="3704" spans="2:9" ht="30" hidden="1" outlineLevel="1">
      <c r="B3704" s="76"/>
      <c r="C3704" s="9" t="str">
        <f>C3703</f>
        <v>Show</v>
      </c>
      <c r="D3704" s="23"/>
      <c r="E3704" s="13"/>
      <c r="G3704" s="78" t="s">
        <v>121</v>
      </c>
      <c r="H3704" s="75" t="s">
        <v>2823</v>
      </c>
    </row>
    <row r="3705" spans="2:9" hidden="1" outlineLevel="1">
      <c r="B3705" s="76"/>
      <c r="C3705" s="9" t="str">
        <f>C3690</f>
        <v>Show</v>
      </c>
    </row>
    <row r="3706" spans="2:9" collapsed="1">
      <c r="B3706" s="23"/>
      <c r="C3706" s="2" t="str">
        <f>C3707</f>
        <v>Show</v>
      </c>
      <c r="D3706" s="55" t="s">
        <v>1674</v>
      </c>
      <c r="E3706" s="55"/>
      <c r="F3706" s="57" t="s">
        <v>1659</v>
      </c>
      <c r="G3706" s="53"/>
      <c r="H3706" s="54"/>
      <c r="I3706" s="75"/>
    </row>
    <row r="3707" spans="2:9" hidden="1" outlineLevel="1">
      <c r="B3707" s="76"/>
      <c r="C3707" s="2" t="str">
        <f>IF((COUNTIF(C3711:C3713,"Show")+COUNTIF(C3716:C3717,"Show")+COUNTIF(C3720:C3721,"Show"))&gt;0,"Show","Hide")</f>
        <v>Show</v>
      </c>
      <c r="D3707" s="23" t="s">
        <v>117</v>
      </c>
      <c r="E3707" s="13"/>
      <c r="G3707" s="13"/>
    </row>
    <row r="3708" spans="2:9" hidden="1" outlineLevel="1">
      <c r="B3708" s="76"/>
      <c r="C3708" s="9" t="str">
        <f>C3707</f>
        <v>Show</v>
      </c>
      <c r="D3708" s="23"/>
      <c r="E3708" s="13">
        <v>1.1000000000000001</v>
      </c>
      <c r="F3708" s="11" t="s">
        <v>118</v>
      </c>
      <c r="G3708" s="13"/>
    </row>
    <row r="3709" spans="2:9" hidden="1" outlineLevel="1">
      <c r="B3709" s="76"/>
      <c r="C3709" s="9" t="str">
        <f>C3708</f>
        <v>Show</v>
      </c>
      <c r="D3709" s="23"/>
      <c r="E3709" s="13"/>
      <c r="F3709" s="70" t="s">
        <v>119</v>
      </c>
      <c r="G3709" s="18" t="s">
        <v>677</v>
      </c>
    </row>
    <row r="3710" spans="2:9" hidden="1" outlineLevel="1">
      <c r="B3710" s="76"/>
      <c r="C3710" s="9" t="str">
        <f>C3709</f>
        <v>Show</v>
      </c>
      <c r="D3710" s="23"/>
      <c r="E3710" s="13"/>
      <c r="F3710" s="70"/>
      <c r="G3710" s="78" t="s">
        <v>121</v>
      </c>
      <c r="H3710" s="79" t="s">
        <v>2301</v>
      </c>
    </row>
    <row r="3711" spans="2:9" hidden="1" outlineLevel="1">
      <c r="B3711" s="76"/>
      <c r="C3711" s="9" t="str">
        <f>IF(COUNTIF(C3712:C3713,"Show")&gt;0,"Show","Hide")</f>
        <v>Show</v>
      </c>
      <c r="D3711" s="23"/>
      <c r="E3711" s="13">
        <v>1.2</v>
      </c>
      <c r="F3711" s="71" t="s">
        <v>131</v>
      </c>
      <c r="G3711" s="78"/>
    </row>
    <row r="3712" spans="2:9" hidden="1" outlineLevel="1">
      <c r="B3712" s="76"/>
      <c r="C3712" t="str">
        <f>$D$5988</f>
        <v>Show</v>
      </c>
      <c r="D3712" s="23"/>
      <c r="E3712" s="13"/>
      <c r="F3712" s="70" t="s">
        <v>119</v>
      </c>
      <c r="G3712" s="109" t="s">
        <v>3458</v>
      </c>
    </row>
    <row r="3713" spans="2:9" hidden="1" outlineLevel="1">
      <c r="B3713" s="76"/>
      <c r="C3713" s="9" t="str">
        <f>C3712</f>
        <v>Show</v>
      </c>
      <c r="D3713" s="23"/>
      <c r="E3713" s="13"/>
      <c r="F3713" s="70"/>
      <c r="G3713" s="78" t="s">
        <v>121</v>
      </c>
      <c r="H3713" s="75" t="s">
        <v>2806</v>
      </c>
    </row>
    <row r="3714" spans="2:9" hidden="1" outlineLevel="1">
      <c r="B3714" s="76"/>
      <c r="C3714" s="9" t="str">
        <f>C3707</f>
        <v>Show</v>
      </c>
      <c r="D3714" s="23" t="s">
        <v>613</v>
      </c>
      <c r="E3714" s="13"/>
      <c r="G3714" s="13"/>
    </row>
    <row r="3715" spans="2:9" hidden="1" outlineLevel="1">
      <c r="B3715" s="76"/>
      <c r="C3715" s="9" t="str">
        <f>C3707</f>
        <v>Show</v>
      </c>
      <c r="D3715" s="23"/>
      <c r="E3715" s="12" t="str">
        <f>IF(COUNTIF(C3716:C3717,"Show")&gt;0,"2.1 Product Requirements","No EGC Requirements")</f>
        <v>2.1 Product Requirements</v>
      </c>
      <c r="G3715" s="13"/>
    </row>
    <row r="3716" spans="2:9" hidden="1" outlineLevel="1">
      <c r="B3716" s="76"/>
      <c r="C3716" t="str">
        <f>$E$5988</f>
        <v>Show</v>
      </c>
      <c r="D3716" s="23"/>
      <c r="E3716" s="12"/>
      <c r="F3716" s="70" t="s">
        <v>119</v>
      </c>
      <c r="G3716" s="109" t="s">
        <v>3458</v>
      </c>
    </row>
    <row r="3717" spans="2:9" hidden="1" outlineLevel="1">
      <c r="B3717" s="76"/>
      <c r="C3717" s="9" t="str">
        <f>C3716</f>
        <v>Show</v>
      </c>
      <c r="D3717" s="23"/>
      <c r="E3717" s="12"/>
      <c r="G3717" s="30" t="s">
        <v>121</v>
      </c>
      <c r="H3717" s="75" t="s">
        <v>2807</v>
      </c>
    </row>
    <row r="3718" spans="2:9" hidden="1" outlineLevel="1">
      <c r="B3718" s="76"/>
      <c r="C3718" s="9" t="str">
        <f>C3707</f>
        <v>Show</v>
      </c>
      <c r="D3718" s="23" t="s">
        <v>187</v>
      </c>
      <c r="E3718" s="13"/>
      <c r="G3718" s="13"/>
    </row>
    <row r="3719" spans="2:9" hidden="1" outlineLevel="1">
      <c r="B3719" s="76"/>
      <c r="C3719" s="9" t="str">
        <f>C3707</f>
        <v>Show</v>
      </c>
      <c r="D3719" s="23"/>
      <c r="E3719" s="12" t="str">
        <f>IF(COUNTIF(C3720:C3721,"Show")&gt;0,"3.1 Execution Requirements","No EGC Requirements")</f>
        <v>3.1 Execution Requirements</v>
      </c>
      <c r="G3719" s="13"/>
    </row>
    <row r="3720" spans="2:9" hidden="1" outlineLevel="1">
      <c r="B3720" s="76"/>
      <c r="C3720" t="str">
        <f>$F$5988</f>
        <v>Show</v>
      </c>
      <c r="D3720" s="23"/>
      <c r="E3720" s="13"/>
      <c r="F3720" s="70" t="s">
        <v>119</v>
      </c>
      <c r="G3720" s="109" t="s">
        <v>3458</v>
      </c>
    </row>
    <row r="3721" spans="2:9" ht="30" hidden="1" outlineLevel="1">
      <c r="B3721" s="76"/>
      <c r="C3721" s="9" t="str">
        <f>C3720</f>
        <v>Show</v>
      </c>
      <c r="D3721" s="23"/>
      <c r="E3721" s="13"/>
      <c r="G3721" s="78" t="s">
        <v>121</v>
      </c>
      <c r="H3721" s="75" t="s">
        <v>2813</v>
      </c>
    </row>
    <row r="3722" spans="2:9" hidden="1" outlineLevel="1">
      <c r="B3722" s="76"/>
      <c r="C3722" s="9" t="str">
        <f>C3707</f>
        <v>Show</v>
      </c>
    </row>
    <row r="3723" spans="2:9" collapsed="1">
      <c r="B3723" s="23"/>
      <c r="C3723" s="2" t="str">
        <f>C3724</f>
        <v>Show</v>
      </c>
      <c r="D3723" s="55" t="s">
        <v>1675</v>
      </c>
      <c r="E3723" s="55"/>
      <c r="F3723" s="57" t="s">
        <v>1660</v>
      </c>
      <c r="G3723" s="53"/>
      <c r="H3723" s="54"/>
      <c r="I3723" s="75"/>
    </row>
    <row r="3724" spans="2:9" hidden="1" outlineLevel="1">
      <c r="B3724" s="76"/>
      <c r="C3724" s="2" t="str">
        <f>IF((COUNTIF(C3728:C3730,"Show")+COUNTIF(C3733:C3734,"Show")+COUNTIF(C3737:C3738,"Show"))&gt;0,"Show","Hide")</f>
        <v>Show</v>
      </c>
      <c r="D3724" s="23" t="s">
        <v>117</v>
      </c>
      <c r="E3724" s="13"/>
      <c r="G3724" s="13"/>
    </row>
    <row r="3725" spans="2:9" hidden="1" outlineLevel="1">
      <c r="B3725" s="76"/>
      <c r="C3725" s="9" t="str">
        <f>C3724</f>
        <v>Show</v>
      </c>
      <c r="D3725" s="23"/>
      <c r="E3725" s="13">
        <v>1.1000000000000001</v>
      </c>
      <c r="F3725" s="11" t="s">
        <v>118</v>
      </c>
      <c r="G3725" s="13"/>
    </row>
    <row r="3726" spans="2:9" hidden="1" outlineLevel="1">
      <c r="B3726" s="76"/>
      <c r="C3726" s="9" t="str">
        <f>C3725</f>
        <v>Show</v>
      </c>
      <c r="D3726" s="23"/>
      <c r="E3726" s="13"/>
      <c r="F3726" s="70" t="s">
        <v>119</v>
      </c>
      <c r="G3726" s="18" t="s">
        <v>677</v>
      </c>
    </row>
    <row r="3727" spans="2:9" hidden="1" outlineLevel="1">
      <c r="B3727" s="76"/>
      <c r="C3727" s="9" t="str">
        <f>C3726</f>
        <v>Show</v>
      </c>
      <c r="D3727" s="23"/>
      <c r="E3727" s="13"/>
      <c r="F3727" s="70"/>
      <c r="G3727" s="78" t="s">
        <v>121</v>
      </c>
      <c r="H3727" s="79" t="s">
        <v>2301</v>
      </c>
    </row>
    <row r="3728" spans="2:9" hidden="1" outlineLevel="1">
      <c r="B3728" s="76"/>
      <c r="C3728" s="9" t="str">
        <f>IF(COUNTIF(C3729:C3730,"Show")&gt;0,"Show","Hide")</f>
        <v>Show</v>
      </c>
      <c r="D3728" s="23"/>
      <c r="E3728" s="13">
        <v>1.2</v>
      </c>
      <c r="F3728" s="71" t="s">
        <v>131</v>
      </c>
      <c r="G3728" s="78"/>
    </row>
    <row r="3729" spans="2:9" hidden="1" outlineLevel="1">
      <c r="B3729" s="76"/>
      <c r="C3729" t="str">
        <f>$D$5992</f>
        <v>Show</v>
      </c>
      <c r="D3729" s="23"/>
      <c r="E3729" s="13"/>
      <c r="F3729" s="70" t="s">
        <v>119</v>
      </c>
      <c r="G3729" s="12" t="s">
        <v>3447</v>
      </c>
    </row>
    <row r="3730" spans="2:9" ht="30" hidden="1" outlineLevel="1">
      <c r="B3730" s="76"/>
      <c r="C3730" s="9" t="str">
        <f>C3729</f>
        <v>Show</v>
      </c>
      <c r="D3730" s="23"/>
      <c r="E3730" s="13"/>
      <c r="F3730" s="70"/>
      <c r="G3730" s="78" t="s">
        <v>121</v>
      </c>
      <c r="H3730" s="75" t="s">
        <v>2826</v>
      </c>
    </row>
    <row r="3731" spans="2:9" hidden="1" outlineLevel="1">
      <c r="B3731" s="76"/>
      <c r="C3731" s="9" t="str">
        <f>C3724</f>
        <v>Show</v>
      </c>
      <c r="D3731" s="23" t="s">
        <v>613</v>
      </c>
      <c r="E3731" s="13"/>
      <c r="G3731" s="13"/>
    </row>
    <row r="3732" spans="2:9" hidden="1" outlineLevel="1">
      <c r="B3732" s="76"/>
      <c r="C3732" s="9" t="str">
        <f>C3724</f>
        <v>Show</v>
      </c>
      <c r="D3732" s="23"/>
      <c r="E3732" s="12" t="str">
        <f>IF(COUNTIF(C3733:C3734,"Show")&gt;0,"2.1 Product Requirements","No EGC Requirements")</f>
        <v>2.1 Product Requirements</v>
      </c>
      <c r="G3732" s="13"/>
    </row>
    <row r="3733" spans="2:9" hidden="1" outlineLevel="1">
      <c r="B3733" s="76"/>
      <c r="C3733" t="str">
        <f>$E$5992</f>
        <v>Show</v>
      </c>
      <c r="D3733" s="23"/>
      <c r="E3733" s="12"/>
      <c r="F3733" s="70" t="s">
        <v>119</v>
      </c>
      <c r="G3733" s="12" t="s">
        <v>3447</v>
      </c>
    </row>
    <row r="3734" spans="2:9" ht="21" hidden="1" customHeight="1" outlineLevel="1">
      <c r="B3734" s="76"/>
      <c r="C3734" s="9" t="str">
        <f>C3733</f>
        <v>Show</v>
      </c>
      <c r="D3734" s="23"/>
      <c r="E3734" s="12"/>
      <c r="G3734" s="30" t="s">
        <v>121</v>
      </c>
      <c r="H3734" s="75" t="s">
        <v>2827</v>
      </c>
    </row>
    <row r="3735" spans="2:9" hidden="1" outlineLevel="1">
      <c r="B3735" s="76"/>
      <c r="C3735" s="9" t="str">
        <f>C3724</f>
        <v>Show</v>
      </c>
      <c r="D3735" s="23" t="s">
        <v>187</v>
      </c>
      <c r="E3735" s="13"/>
      <c r="G3735" s="13"/>
    </row>
    <row r="3736" spans="2:9" hidden="1" outlineLevel="1">
      <c r="B3736" s="76"/>
      <c r="C3736" s="9" t="str">
        <f>C3724</f>
        <v>Show</v>
      </c>
      <c r="D3736" s="23"/>
      <c r="E3736" s="12" t="str">
        <f>IF(COUNTIF(C3737:C3738,"Show")&gt;0,"3.1 Execution Requirements","No EGC Requirements")</f>
        <v>3.1 Execution Requirements</v>
      </c>
      <c r="G3736" s="13"/>
    </row>
    <row r="3737" spans="2:9" hidden="1" outlineLevel="1">
      <c r="B3737" s="76"/>
      <c r="C3737" t="str">
        <f>$F$5992</f>
        <v>Show</v>
      </c>
      <c r="D3737" s="23"/>
      <c r="E3737" s="13"/>
      <c r="F3737" s="70" t="s">
        <v>119</v>
      </c>
      <c r="G3737" s="12" t="s">
        <v>3447</v>
      </c>
    </row>
    <row r="3738" spans="2:9" ht="30" hidden="1" outlineLevel="1">
      <c r="B3738" s="76"/>
      <c r="C3738" s="9" t="str">
        <f>C3737</f>
        <v>Show</v>
      </c>
      <c r="D3738" s="23"/>
      <c r="E3738" s="13"/>
      <c r="G3738" s="78" t="s">
        <v>121</v>
      </c>
      <c r="H3738" s="75" t="s">
        <v>2828</v>
      </c>
    </row>
    <row r="3739" spans="2:9" hidden="1" outlineLevel="1">
      <c r="B3739" s="76"/>
      <c r="C3739" s="9" t="str">
        <f>C3724</f>
        <v>Show</v>
      </c>
    </row>
    <row r="3740" spans="2:9" collapsed="1">
      <c r="B3740" s="23"/>
      <c r="C3740" s="2" t="str">
        <f>C3741</f>
        <v>Show</v>
      </c>
      <c r="D3740" s="55" t="s">
        <v>1676</v>
      </c>
      <c r="E3740" s="55"/>
      <c r="F3740" s="57" t="s">
        <v>1661</v>
      </c>
      <c r="G3740" s="53"/>
      <c r="H3740" s="54"/>
      <c r="I3740" s="75"/>
    </row>
    <row r="3741" spans="2:9" hidden="1" outlineLevel="1">
      <c r="B3741" s="76"/>
      <c r="C3741" s="2" t="str">
        <f>IF((COUNTIF(C3745:C3747,"Show")+COUNTIF(C3750:C3751,"Show")+COUNTIF(C3754:C3755,"Show"))&gt;0,"Show","Hide")</f>
        <v>Show</v>
      </c>
      <c r="D3741" s="23" t="s">
        <v>117</v>
      </c>
      <c r="E3741" s="13"/>
      <c r="G3741" s="13"/>
    </row>
    <row r="3742" spans="2:9" hidden="1" outlineLevel="1">
      <c r="B3742" s="76"/>
      <c r="C3742" s="9" t="str">
        <f>C3741</f>
        <v>Show</v>
      </c>
      <c r="D3742" s="23"/>
      <c r="E3742" s="13">
        <v>1.1000000000000001</v>
      </c>
      <c r="F3742" s="11" t="s">
        <v>118</v>
      </c>
      <c r="G3742" s="13"/>
    </row>
    <row r="3743" spans="2:9" hidden="1" outlineLevel="1">
      <c r="B3743" s="76"/>
      <c r="C3743" s="9" t="str">
        <f>C3742</f>
        <v>Show</v>
      </c>
      <c r="D3743" s="23"/>
      <c r="E3743" s="13"/>
      <c r="F3743" s="70" t="s">
        <v>119</v>
      </c>
      <c r="G3743" s="18" t="s">
        <v>677</v>
      </c>
    </row>
    <row r="3744" spans="2:9" hidden="1" outlineLevel="1">
      <c r="B3744" s="76"/>
      <c r="C3744" s="9" t="str">
        <f>C3743</f>
        <v>Show</v>
      </c>
      <c r="D3744" s="23"/>
      <c r="E3744" s="13"/>
      <c r="F3744" s="70"/>
      <c r="G3744" s="78" t="s">
        <v>121</v>
      </c>
      <c r="H3744" s="79" t="s">
        <v>2301</v>
      </c>
    </row>
    <row r="3745" spans="2:9" hidden="1" outlineLevel="1">
      <c r="B3745" s="76"/>
      <c r="C3745" s="9" t="str">
        <f>IF(COUNTIF(C3746:C3747,"Show")&gt;0,"Show","Hide")</f>
        <v>Show</v>
      </c>
      <c r="D3745" s="23"/>
      <c r="E3745" s="13">
        <v>1.2</v>
      </c>
      <c r="F3745" s="71" t="s">
        <v>131</v>
      </c>
      <c r="G3745" s="78"/>
    </row>
    <row r="3746" spans="2:9" hidden="1" outlineLevel="1">
      <c r="B3746" s="76"/>
      <c r="C3746" t="str">
        <f>$D$5992</f>
        <v>Show</v>
      </c>
      <c r="D3746" s="23"/>
      <c r="E3746" s="13"/>
      <c r="F3746" s="70" t="s">
        <v>119</v>
      </c>
      <c r="G3746" s="12" t="s">
        <v>3447</v>
      </c>
    </row>
    <row r="3747" spans="2:9" ht="30" hidden="1" outlineLevel="1">
      <c r="B3747" s="76"/>
      <c r="C3747" s="9" t="str">
        <f>C3746</f>
        <v>Show</v>
      </c>
      <c r="D3747" s="23"/>
      <c r="E3747" s="13"/>
      <c r="F3747" s="70"/>
      <c r="G3747" s="78" t="s">
        <v>121</v>
      </c>
      <c r="H3747" s="75" t="s">
        <v>2824</v>
      </c>
    </row>
    <row r="3748" spans="2:9" hidden="1" outlineLevel="1">
      <c r="B3748" s="76"/>
      <c r="C3748" s="9" t="str">
        <f>C3741</f>
        <v>Show</v>
      </c>
      <c r="D3748" s="23" t="s">
        <v>613</v>
      </c>
      <c r="E3748" s="13"/>
      <c r="G3748" s="13"/>
    </row>
    <row r="3749" spans="2:9" hidden="1" outlineLevel="1">
      <c r="B3749" s="76"/>
      <c r="C3749" s="9" t="str">
        <f>C3741</f>
        <v>Show</v>
      </c>
      <c r="D3749" s="23"/>
      <c r="E3749" s="12" t="str">
        <f>IF(COUNTIF(C3750:C3751,"Show")&gt;0,"2.1 Product Requirements","No EGC Requirements")</f>
        <v>2.1 Product Requirements</v>
      </c>
      <c r="G3749" s="13"/>
    </row>
    <row r="3750" spans="2:9" hidden="1" outlineLevel="1">
      <c r="B3750" s="76"/>
      <c r="C3750" t="str">
        <f>$E$5992</f>
        <v>Show</v>
      </c>
      <c r="D3750" s="23"/>
      <c r="E3750" s="12"/>
      <c r="F3750" s="70" t="s">
        <v>119</v>
      </c>
      <c r="G3750" s="12" t="s">
        <v>3447</v>
      </c>
    </row>
    <row r="3751" spans="2:9" ht="30" hidden="1" outlineLevel="1">
      <c r="B3751" s="76"/>
      <c r="C3751" s="9" t="str">
        <f>C3750</f>
        <v>Show</v>
      </c>
      <c r="D3751" s="23"/>
      <c r="E3751" s="12"/>
      <c r="G3751" s="30" t="s">
        <v>121</v>
      </c>
      <c r="H3751" s="75" t="s">
        <v>2825</v>
      </c>
    </row>
    <row r="3752" spans="2:9" hidden="1" outlineLevel="1">
      <c r="B3752" s="76"/>
      <c r="C3752" s="9" t="str">
        <f>C3741</f>
        <v>Show</v>
      </c>
      <c r="D3752" s="23" t="s">
        <v>187</v>
      </c>
      <c r="E3752" s="13"/>
      <c r="G3752" s="13"/>
    </row>
    <row r="3753" spans="2:9" hidden="1" outlineLevel="1">
      <c r="B3753" s="76"/>
      <c r="C3753" s="9" t="str">
        <f>C3741</f>
        <v>Show</v>
      </c>
      <c r="D3753" s="23"/>
      <c r="E3753" s="12" t="str">
        <f>IF(COUNTIF(C3754:C3755,"Show")&gt;0,"3.1 Execution Requirements","No EGC Requirements")</f>
        <v>3.1 Execution Requirements</v>
      </c>
      <c r="G3753" s="13"/>
    </row>
    <row r="3754" spans="2:9" hidden="1" outlineLevel="1">
      <c r="B3754" s="76"/>
      <c r="C3754" t="str">
        <f>$F$5992</f>
        <v>Show</v>
      </c>
      <c r="D3754" s="23"/>
      <c r="E3754" s="13"/>
      <c r="F3754" s="70" t="s">
        <v>119</v>
      </c>
      <c r="G3754" s="12" t="s">
        <v>3447</v>
      </c>
    </row>
    <row r="3755" spans="2:9" ht="30" hidden="1" outlineLevel="1">
      <c r="B3755" s="76"/>
      <c r="C3755" s="9" t="str">
        <f>C3754</f>
        <v>Show</v>
      </c>
      <c r="D3755" s="23"/>
      <c r="E3755" s="13"/>
      <c r="G3755" s="78" t="s">
        <v>121</v>
      </c>
      <c r="H3755" s="75" t="s">
        <v>2829</v>
      </c>
    </row>
    <row r="3756" spans="2:9" hidden="1" outlineLevel="1">
      <c r="B3756" s="76"/>
      <c r="C3756" s="9" t="str">
        <f>C3741</f>
        <v>Show</v>
      </c>
    </row>
    <row r="3757" spans="2:9" collapsed="1">
      <c r="B3757" s="23"/>
      <c r="C3757" s="2" t="str">
        <f>C3758</f>
        <v>Show</v>
      </c>
      <c r="D3757" s="55" t="s">
        <v>1677</v>
      </c>
      <c r="E3757" s="55"/>
      <c r="F3757" s="57" t="s">
        <v>1662</v>
      </c>
      <c r="G3757" s="53"/>
      <c r="H3757" s="54"/>
      <c r="I3757" s="75"/>
    </row>
    <row r="3758" spans="2:9" hidden="1" outlineLevel="1">
      <c r="B3758" s="76"/>
      <c r="C3758" s="2" t="str">
        <f>IF((COUNTIF(C3762:C3764,"Show")+COUNTIF(C3767:C3768,"Show")+COUNTIF(C3771:C3772,"Show"))&gt;0,"Show","Hide")</f>
        <v>Show</v>
      </c>
      <c r="D3758" s="23" t="s">
        <v>117</v>
      </c>
      <c r="E3758" s="13"/>
      <c r="G3758" s="13"/>
    </row>
    <row r="3759" spans="2:9" hidden="1" outlineLevel="1">
      <c r="B3759" s="76"/>
      <c r="C3759" s="9" t="str">
        <f>C3758</f>
        <v>Show</v>
      </c>
      <c r="D3759" s="23"/>
      <c r="E3759" s="13">
        <v>1.1000000000000001</v>
      </c>
      <c r="F3759" s="11" t="s">
        <v>118</v>
      </c>
      <c r="G3759" s="13"/>
    </row>
    <row r="3760" spans="2:9" hidden="1" outlineLevel="1">
      <c r="B3760" s="76"/>
      <c r="C3760" s="9" t="str">
        <f>C3759</f>
        <v>Show</v>
      </c>
      <c r="D3760" s="23"/>
      <c r="E3760" s="13"/>
      <c r="F3760" s="70" t="s">
        <v>119</v>
      </c>
      <c r="G3760" s="18" t="s">
        <v>677</v>
      </c>
    </row>
    <row r="3761" spans="2:9" hidden="1" outlineLevel="1">
      <c r="B3761" s="76"/>
      <c r="C3761" s="9" t="str">
        <f>C3760</f>
        <v>Show</v>
      </c>
      <c r="D3761" s="23"/>
      <c r="E3761" s="13"/>
      <c r="F3761" s="70"/>
      <c r="G3761" s="78" t="s">
        <v>121</v>
      </c>
      <c r="H3761" s="79" t="s">
        <v>2301</v>
      </c>
    </row>
    <row r="3762" spans="2:9" hidden="1" outlineLevel="1">
      <c r="B3762" s="76"/>
      <c r="C3762" s="9" t="str">
        <f>IF(COUNTIF(C3763:C3764,"Show")&gt;0,"Show","Hide")</f>
        <v>Show</v>
      </c>
      <c r="D3762" s="23"/>
      <c r="E3762" s="13">
        <v>1.2</v>
      </c>
      <c r="F3762" s="71" t="s">
        <v>131</v>
      </c>
      <c r="G3762" s="78"/>
    </row>
    <row r="3763" spans="2:9" hidden="1" outlineLevel="1">
      <c r="B3763" s="76"/>
      <c r="C3763" t="str">
        <f>$D$5953</f>
        <v>Show</v>
      </c>
      <c r="D3763" s="23"/>
      <c r="E3763" s="13"/>
      <c r="F3763" s="70" t="s">
        <v>119</v>
      </c>
      <c r="G3763" s="12" t="s">
        <v>3438</v>
      </c>
    </row>
    <row r="3764" spans="2:9" hidden="1" outlineLevel="1">
      <c r="B3764" s="76"/>
      <c r="C3764" s="9" t="str">
        <f>C3763</f>
        <v>Show</v>
      </c>
      <c r="D3764" s="23"/>
      <c r="E3764" s="13"/>
      <c r="F3764" s="70"/>
      <c r="G3764" s="78" t="s">
        <v>121</v>
      </c>
      <c r="H3764" s="75" t="s">
        <v>2546</v>
      </c>
    </row>
    <row r="3765" spans="2:9" hidden="1" outlineLevel="1">
      <c r="B3765" s="76"/>
      <c r="C3765" s="9" t="str">
        <f>C3758</f>
        <v>Show</v>
      </c>
      <c r="D3765" s="23" t="s">
        <v>613</v>
      </c>
      <c r="E3765" s="13"/>
      <c r="G3765" s="13"/>
    </row>
    <row r="3766" spans="2:9" hidden="1" outlineLevel="1">
      <c r="B3766" s="76"/>
      <c r="C3766" s="9" t="str">
        <f>C3758</f>
        <v>Show</v>
      </c>
      <c r="D3766" s="23"/>
      <c r="E3766" s="12" t="str">
        <f>IF(COUNTIF(C3767:C3768,"Show")&gt;0,"2.1 Product Requirements","No EGC Requirements")</f>
        <v>2.1 Product Requirements</v>
      </c>
      <c r="G3766" s="13"/>
    </row>
    <row r="3767" spans="2:9" hidden="1" outlineLevel="1">
      <c r="B3767" s="76"/>
      <c r="C3767" t="str">
        <f>$E$5953</f>
        <v>Show</v>
      </c>
      <c r="D3767" s="23"/>
      <c r="E3767" s="12"/>
      <c r="F3767" s="70" t="s">
        <v>119</v>
      </c>
      <c r="G3767" s="12" t="s">
        <v>3438</v>
      </c>
    </row>
    <row r="3768" spans="2:9" hidden="1" outlineLevel="1">
      <c r="B3768" s="76"/>
      <c r="C3768" s="9" t="str">
        <f>C3767</f>
        <v>Show</v>
      </c>
      <c r="D3768" s="23"/>
      <c r="E3768" s="12"/>
      <c r="G3768" s="30" t="s">
        <v>121</v>
      </c>
      <c r="H3768" s="75" t="s">
        <v>2548</v>
      </c>
    </row>
    <row r="3769" spans="2:9" hidden="1" outlineLevel="1">
      <c r="B3769" s="76"/>
      <c r="C3769" s="9" t="str">
        <f>C3758</f>
        <v>Show</v>
      </c>
      <c r="D3769" s="23" t="s">
        <v>187</v>
      </c>
      <c r="E3769" s="13"/>
      <c r="G3769" s="13"/>
    </row>
    <row r="3770" spans="2:9" hidden="1" outlineLevel="1">
      <c r="B3770" s="76"/>
      <c r="C3770" s="9" t="str">
        <f>C3758</f>
        <v>Show</v>
      </c>
      <c r="D3770" s="23"/>
      <c r="E3770" s="12" t="str">
        <f>IF(COUNTIF(C3771:C3772,"Show")&gt;0,"3.1 Execution Requirements","No EGC Requirements")</f>
        <v>3.1 Execution Requirements</v>
      </c>
      <c r="G3770" s="13"/>
    </row>
    <row r="3771" spans="2:9" hidden="1" outlineLevel="1">
      <c r="B3771" s="76"/>
      <c r="C3771" t="str">
        <f>$F$5953</f>
        <v>Show</v>
      </c>
      <c r="D3771" s="23"/>
      <c r="E3771" s="13"/>
      <c r="F3771" s="70" t="s">
        <v>119</v>
      </c>
      <c r="G3771" s="12" t="s">
        <v>3438</v>
      </c>
    </row>
    <row r="3772" spans="2:9" hidden="1" outlineLevel="1">
      <c r="B3772" s="76"/>
      <c r="C3772" s="9" t="str">
        <f>C3771</f>
        <v>Show</v>
      </c>
      <c r="D3772" s="23"/>
      <c r="E3772" s="13"/>
      <c r="G3772" s="78" t="s">
        <v>121</v>
      </c>
      <c r="H3772" s="75" t="s">
        <v>2550</v>
      </c>
    </row>
    <row r="3773" spans="2:9" hidden="1" outlineLevel="1">
      <c r="B3773" s="76"/>
      <c r="C3773" s="9" t="str">
        <f>C3758</f>
        <v>Show</v>
      </c>
    </row>
    <row r="3774" spans="2:9" collapsed="1">
      <c r="B3774" s="23"/>
      <c r="C3774" s="2" t="str">
        <f>C3775</f>
        <v>Show</v>
      </c>
      <c r="D3774" s="55" t="s">
        <v>1678</v>
      </c>
      <c r="E3774" s="55"/>
      <c r="F3774" s="57" t="s">
        <v>1663</v>
      </c>
      <c r="G3774" s="53"/>
      <c r="H3774" s="54"/>
      <c r="I3774" s="75"/>
    </row>
    <row r="3775" spans="2:9" hidden="1" outlineLevel="1">
      <c r="B3775" s="76"/>
      <c r="C3775" s="2" t="str">
        <f>IF((COUNTIF(C3779:C3783,"Show")+COUNTIF(C3786:C3789,"Show")+COUNTIF(C3792:C3795,"Show"))&gt;0,"Show","Hide")</f>
        <v>Show</v>
      </c>
      <c r="D3775" s="23" t="s">
        <v>117</v>
      </c>
      <c r="E3775" s="13"/>
      <c r="G3775" s="13"/>
    </row>
    <row r="3776" spans="2:9" hidden="1" outlineLevel="1">
      <c r="B3776" s="76"/>
      <c r="C3776" s="9" t="str">
        <f>C3775</f>
        <v>Show</v>
      </c>
      <c r="D3776" s="23"/>
      <c r="E3776" s="13">
        <v>1.1000000000000001</v>
      </c>
      <c r="F3776" s="11" t="s">
        <v>118</v>
      </c>
      <c r="G3776" s="13"/>
    </row>
    <row r="3777" spans="2:8" hidden="1" outlineLevel="1">
      <c r="B3777" s="76"/>
      <c r="C3777" s="9" t="str">
        <f>C3776</f>
        <v>Show</v>
      </c>
      <c r="D3777" s="23"/>
      <c r="E3777" s="13"/>
      <c r="F3777" s="70" t="s">
        <v>119</v>
      </c>
      <c r="G3777" s="18" t="s">
        <v>677</v>
      </c>
    </row>
    <row r="3778" spans="2:8" hidden="1" outlineLevel="1">
      <c r="B3778" s="76"/>
      <c r="C3778" s="9" t="str">
        <f>C3777</f>
        <v>Show</v>
      </c>
      <c r="D3778" s="23"/>
      <c r="E3778" s="13"/>
      <c r="F3778" s="70"/>
      <c r="G3778" s="78" t="s">
        <v>121</v>
      </c>
      <c r="H3778" s="79" t="s">
        <v>2301</v>
      </c>
    </row>
    <row r="3779" spans="2:8" hidden="1" outlineLevel="1">
      <c r="B3779" s="76"/>
      <c r="C3779" s="9" t="str">
        <f>IF(COUNTIF(C3780:C3783,"Show")&gt;0,"Show","Hide")</f>
        <v>Show</v>
      </c>
      <c r="D3779" s="23"/>
      <c r="E3779" s="13">
        <v>1.2</v>
      </c>
      <c r="F3779" s="71" t="s">
        <v>131</v>
      </c>
      <c r="G3779" s="78"/>
    </row>
    <row r="3780" spans="2:8" hidden="1" outlineLevel="1">
      <c r="B3780" s="76"/>
      <c r="C3780" t="str">
        <f>$D$5953</f>
        <v>Show</v>
      </c>
      <c r="D3780" s="23"/>
      <c r="E3780" s="13"/>
      <c r="F3780" s="70" t="s">
        <v>119</v>
      </c>
      <c r="G3780" s="12" t="s">
        <v>3438</v>
      </c>
    </row>
    <row r="3781" spans="2:8" hidden="1" outlineLevel="1">
      <c r="B3781" s="76"/>
      <c r="C3781" s="9" t="str">
        <f>C3780</f>
        <v>Show</v>
      </c>
      <c r="D3781" s="23"/>
      <c r="E3781" s="13"/>
      <c r="F3781" s="70"/>
      <c r="G3781" s="78" t="s">
        <v>121</v>
      </c>
      <c r="H3781" s="75" t="s">
        <v>2546</v>
      </c>
    </row>
    <row r="3782" spans="2:8" hidden="1" outlineLevel="1">
      <c r="B3782" s="76"/>
      <c r="C3782" t="str">
        <f>$D$5972</f>
        <v>Show</v>
      </c>
      <c r="D3782" s="23"/>
      <c r="E3782" s="13"/>
      <c r="F3782" s="70" t="str">
        <f>CHAR(65+(COUNTIF(C$3780:C3781,"Show")/2))&amp;"."</f>
        <v>B.</v>
      </c>
      <c r="G3782" s="12" t="s">
        <v>3462</v>
      </c>
    </row>
    <row r="3783" spans="2:8" hidden="1" outlineLevel="1">
      <c r="B3783" s="76"/>
      <c r="C3783" s="9" t="str">
        <f>C3782</f>
        <v>Show</v>
      </c>
      <c r="D3783" s="23"/>
      <c r="E3783" s="13"/>
      <c r="F3783" s="70"/>
      <c r="G3783" s="78" t="s">
        <v>121</v>
      </c>
      <c r="H3783" s="75" t="s">
        <v>2830</v>
      </c>
    </row>
    <row r="3784" spans="2:8" hidden="1" outlineLevel="1">
      <c r="B3784" s="76"/>
      <c r="C3784" s="9" t="str">
        <f>C3775</f>
        <v>Show</v>
      </c>
      <c r="D3784" s="23" t="s">
        <v>613</v>
      </c>
      <c r="E3784" s="13"/>
      <c r="G3784" s="13"/>
    </row>
    <row r="3785" spans="2:8" hidden="1" outlineLevel="1">
      <c r="B3785" s="76"/>
      <c r="C3785" s="9" t="str">
        <f>C3775</f>
        <v>Show</v>
      </c>
      <c r="D3785" s="23"/>
      <c r="E3785" s="12" t="str">
        <f>IF(COUNTIF(C3786:C3789,"Show")&gt;0,"2.1 Product Requirements","No EGC Requirements")</f>
        <v>2.1 Product Requirements</v>
      </c>
      <c r="G3785" s="13"/>
    </row>
    <row r="3786" spans="2:8" hidden="1" outlineLevel="1">
      <c r="B3786" s="76"/>
      <c r="C3786" t="str">
        <f>$E$5953</f>
        <v>Show</v>
      </c>
      <c r="D3786" s="23"/>
      <c r="E3786" s="12"/>
      <c r="F3786" s="70" t="s">
        <v>119</v>
      </c>
      <c r="G3786" s="12" t="s">
        <v>3438</v>
      </c>
    </row>
    <row r="3787" spans="2:8" hidden="1" outlineLevel="1">
      <c r="B3787" s="76"/>
      <c r="C3787" s="9" t="str">
        <f>C3786</f>
        <v>Show</v>
      </c>
      <c r="D3787" s="23"/>
      <c r="E3787" s="12"/>
      <c r="G3787" s="30" t="s">
        <v>121</v>
      </c>
      <c r="H3787" s="75" t="s">
        <v>2548</v>
      </c>
    </row>
    <row r="3788" spans="2:8" hidden="1" outlineLevel="1">
      <c r="B3788" s="76"/>
      <c r="C3788" t="str">
        <f>$E$5972</f>
        <v>Show</v>
      </c>
      <c r="D3788" s="23"/>
      <c r="E3788" s="12"/>
      <c r="F3788" s="70" t="str">
        <f>CHAR(65+(COUNTIF(C$3786:C3787,"Show")/2))&amp;"."</f>
        <v>B.</v>
      </c>
      <c r="G3788" s="12" t="s">
        <v>3462</v>
      </c>
    </row>
    <row r="3789" spans="2:8" hidden="1" outlineLevel="1">
      <c r="B3789" s="76"/>
      <c r="C3789" s="9" t="str">
        <f>C3788</f>
        <v>Show</v>
      </c>
      <c r="D3789" s="23"/>
      <c r="E3789" s="12"/>
      <c r="G3789" s="30" t="s">
        <v>121</v>
      </c>
      <c r="H3789" s="75" t="s">
        <v>2831</v>
      </c>
    </row>
    <row r="3790" spans="2:8" hidden="1" outlineLevel="1">
      <c r="B3790" s="76"/>
      <c r="C3790" s="9" t="str">
        <f>C3775</f>
        <v>Show</v>
      </c>
      <c r="D3790" s="23" t="s">
        <v>187</v>
      </c>
      <c r="E3790" s="13"/>
      <c r="G3790" s="13"/>
    </row>
    <row r="3791" spans="2:8" hidden="1" outlineLevel="1">
      <c r="B3791" s="76"/>
      <c r="C3791" s="9" t="str">
        <f>C3775</f>
        <v>Show</v>
      </c>
      <c r="D3791" s="23"/>
      <c r="E3791" s="12" t="str">
        <f>IF(COUNTIF(C3792:C3795,"Show")&gt;0,"3.1 Execution Requirements","No EGC Requirements")</f>
        <v>3.1 Execution Requirements</v>
      </c>
      <c r="G3791" s="13"/>
    </row>
    <row r="3792" spans="2:8" hidden="1" outlineLevel="1">
      <c r="B3792" s="76"/>
      <c r="C3792" t="str">
        <f>$F$5953</f>
        <v>Show</v>
      </c>
      <c r="D3792" s="23"/>
      <c r="E3792" s="13"/>
      <c r="F3792" s="70" t="s">
        <v>119</v>
      </c>
      <c r="G3792" s="12" t="s">
        <v>3438</v>
      </c>
    </row>
    <row r="3793" spans="2:9" hidden="1" outlineLevel="1">
      <c r="B3793" s="76"/>
      <c r="C3793" s="9" t="str">
        <f>C3792</f>
        <v>Show</v>
      </c>
      <c r="D3793" s="23"/>
      <c r="E3793" s="13"/>
      <c r="G3793" s="78" t="s">
        <v>121</v>
      </c>
      <c r="H3793" s="75" t="s">
        <v>2550</v>
      </c>
    </row>
    <row r="3794" spans="2:9" hidden="1" outlineLevel="1">
      <c r="B3794" s="76"/>
      <c r="C3794" t="str">
        <f>$F$5972</f>
        <v>Show</v>
      </c>
      <c r="D3794" s="23"/>
      <c r="E3794" s="13"/>
      <c r="F3794" s="70" t="str">
        <f>CHAR(65+(COUNTIF(C$3792:C3793,"Show")/2))&amp;"."</f>
        <v>B.</v>
      </c>
      <c r="G3794" s="12" t="s">
        <v>3462</v>
      </c>
    </row>
    <row r="3795" spans="2:9" hidden="1" outlineLevel="1">
      <c r="B3795" s="76"/>
      <c r="C3795" s="9" t="str">
        <f>C3794</f>
        <v>Show</v>
      </c>
      <c r="D3795" s="23"/>
      <c r="E3795" s="13"/>
      <c r="G3795" s="78" t="s">
        <v>121</v>
      </c>
      <c r="H3795" s="75" t="s">
        <v>2832</v>
      </c>
    </row>
    <row r="3796" spans="2:9" hidden="1" outlineLevel="1">
      <c r="B3796" s="76"/>
      <c r="C3796" s="9" t="str">
        <f>C3775</f>
        <v>Show</v>
      </c>
    </row>
    <row r="3797" spans="2:9" collapsed="1">
      <c r="B3797" s="23"/>
      <c r="C3797" s="2" t="str">
        <f>C3798</f>
        <v>Show</v>
      </c>
      <c r="D3797" s="60" t="s">
        <v>1236</v>
      </c>
      <c r="E3797" s="55"/>
      <c r="F3797" s="56" t="s">
        <v>1237</v>
      </c>
      <c r="G3797" s="53"/>
      <c r="H3797" s="54"/>
      <c r="I3797" s="75"/>
    </row>
    <row r="3798" spans="2:9" hidden="1" outlineLevel="1">
      <c r="B3798" s="76"/>
      <c r="C3798" s="2" t="str">
        <f>IF((COUNTIF(C3802:C3804,"Show")+COUNTIF(C3807:C3808,"Show")+COUNTIF(C3811:C3812,"Show"))&gt;0,"Show","Hide")</f>
        <v>Show</v>
      </c>
      <c r="D3798" s="23" t="s">
        <v>117</v>
      </c>
      <c r="E3798" s="13"/>
      <c r="G3798" s="13"/>
    </row>
    <row r="3799" spans="2:9" hidden="1" outlineLevel="1">
      <c r="B3799" s="76"/>
      <c r="C3799" s="9" t="str">
        <f>C3798</f>
        <v>Show</v>
      </c>
      <c r="D3799" s="23"/>
      <c r="E3799" s="13">
        <v>1.1000000000000001</v>
      </c>
      <c r="F3799" s="11" t="s">
        <v>118</v>
      </c>
      <c r="G3799" s="13"/>
    </row>
    <row r="3800" spans="2:9" hidden="1" outlineLevel="1">
      <c r="B3800" s="76"/>
      <c r="C3800" s="9" t="str">
        <f>C3799</f>
        <v>Show</v>
      </c>
      <c r="D3800" s="23"/>
      <c r="E3800" s="13"/>
      <c r="F3800" s="70" t="s">
        <v>119</v>
      </c>
      <c r="G3800" s="18" t="s">
        <v>677</v>
      </c>
    </row>
    <row r="3801" spans="2:9" hidden="1" outlineLevel="1">
      <c r="B3801" s="76"/>
      <c r="C3801" s="9" t="str">
        <f>C3800</f>
        <v>Show</v>
      </c>
      <c r="D3801" s="23"/>
      <c r="E3801" s="13"/>
      <c r="F3801" s="70"/>
      <c r="G3801" s="78" t="s">
        <v>121</v>
      </c>
      <c r="H3801" s="79" t="s">
        <v>2301</v>
      </c>
    </row>
    <row r="3802" spans="2:9" hidden="1" outlineLevel="1">
      <c r="B3802" s="76"/>
      <c r="C3802" s="9" t="str">
        <f>IF(COUNTIF(C3803:C3804,"Show")&gt;0,"Show","Hide")</f>
        <v>Show</v>
      </c>
      <c r="D3802" s="23"/>
      <c r="E3802" s="13">
        <v>1.2</v>
      </c>
      <c r="F3802" s="71" t="s">
        <v>131</v>
      </c>
      <c r="G3802" s="78"/>
    </row>
    <row r="3803" spans="2:9" hidden="1" outlineLevel="1">
      <c r="B3803" s="76"/>
      <c r="C3803" t="str">
        <f>$D$5954</f>
        <v>Show</v>
      </c>
      <c r="D3803" s="23"/>
      <c r="E3803" s="13"/>
      <c r="F3803" s="70" t="s">
        <v>119</v>
      </c>
      <c r="G3803" s="12" t="s">
        <v>3439</v>
      </c>
    </row>
    <row r="3804" spans="2:9" hidden="1" outlineLevel="1">
      <c r="B3804" s="76"/>
      <c r="C3804" s="9" t="str">
        <f>C3803</f>
        <v>Show</v>
      </c>
      <c r="D3804" s="23"/>
      <c r="E3804" s="13"/>
      <c r="F3804" s="70"/>
      <c r="G3804" s="78" t="s">
        <v>121</v>
      </c>
      <c r="H3804" s="75" t="s">
        <v>2547</v>
      </c>
    </row>
    <row r="3805" spans="2:9" hidden="1" outlineLevel="1">
      <c r="B3805" s="76"/>
      <c r="C3805" s="9" t="str">
        <f>C3798</f>
        <v>Show</v>
      </c>
      <c r="D3805" s="23" t="s">
        <v>613</v>
      </c>
      <c r="E3805" s="13"/>
      <c r="G3805" s="13"/>
    </row>
    <row r="3806" spans="2:9" hidden="1" outlineLevel="1">
      <c r="B3806" s="76"/>
      <c r="C3806" s="9" t="str">
        <f>C3798</f>
        <v>Show</v>
      </c>
      <c r="D3806" s="23"/>
      <c r="E3806" s="12" t="str">
        <f>IF(COUNTIF(C3807:C3808,"Show")&gt;0,"2.1 Product Requirements","No EGC Requirements")</f>
        <v>2.1 Product Requirements</v>
      </c>
      <c r="G3806" s="13"/>
    </row>
    <row r="3807" spans="2:9" hidden="1" outlineLevel="1">
      <c r="B3807" s="76"/>
      <c r="C3807" t="str">
        <f>$E$5954</f>
        <v>Show</v>
      </c>
      <c r="D3807" s="23"/>
      <c r="E3807" s="12"/>
      <c r="F3807" s="70" t="s">
        <v>119</v>
      </c>
      <c r="G3807" s="12" t="s">
        <v>3439</v>
      </c>
    </row>
    <row r="3808" spans="2:9" hidden="1" outlineLevel="1">
      <c r="B3808" s="76"/>
      <c r="C3808" s="9" t="str">
        <f>C3807</f>
        <v>Show</v>
      </c>
      <c r="D3808" s="23"/>
      <c r="E3808" s="12"/>
      <c r="G3808" s="30" t="s">
        <v>121</v>
      </c>
      <c r="H3808" s="75" t="s">
        <v>2549</v>
      </c>
    </row>
    <row r="3809" spans="2:9" hidden="1" outlineLevel="1">
      <c r="B3809" s="76"/>
      <c r="C3809" s="9" t="str">
        <f>C3798</f>
        <v>Show</v>
      </c>
      <c r="D3809" s="23" t="s">
        <v>187</v>
      </c>
      <c r="E3809" s="13"/>
      <c r="G3809" s="13"/>
    </row>
    <row r="3810" spans="2:9" hidden="1" outlineLevel="1">
      <c r="B3810" s="76"/>
      <c r="C3810" s="9" t="str">
        <f>C3798</f>
        <v>Show</v>
      </c>
      <c r="D3810" s="23"/>
      <c r="E3810" s="12" t="str">
        <f>IF(COUNTIF(C3811:C3812,"Show")&gt;0,"3.1 Execution Requirements","No EGC Requirements")</f>
        <v>3.1 Execution Requirements</v>
      </c>
      <c r="G3810" s="13"/>
    </row>
    <row r="3811" spans="2:9" hidden="1" outlineLevel="1">
      <c r="B3811" s="76"/>
      <c r="C3811" t="str">
        <f>$F$5954</f>
        <v>Show</v>
      </c>
      <c r="D3811" s="23"/>
      <c r="E3811" s="13"/>
      <c r="F3811" s="70" t="s">
        <v>119</v>
      </c>
      <c r="G3811" s="12" t="s">
        <v>3439</v>
      </c>
    </row>
    <row r="3812" spans="2:9" ht="30" hidden="1" outlineLevel="1">
      <c r="B3812" s="76"/>
      <c r="C3812" s="9" t="str">
        <f>C3811</f>
        <v>Show</v>
      </c>
      <c r="D3812" s="23"/>
      <c r="E3812" s="13"/>
      <c r="G3812" s="78" t="s">
        <v>121</v>
      </c>
      <c r="H3812" s="75" t="s">
        <v>2551</v>
      </c>
    </row>
    <row r="3813" spans="2:9" hidden="1" outlineLevel="1">
      <c r="B3813" s="76"/>
      <c r="C3813" s="9" t="str">
        <f>C3798</f>
        <v>Show</v>
      </c>
    </row>
    <row r="3814" spans="2:9" collapsed="1">
      <c r="B3814" s="23"/>
      <c r="C3814" s="2" t="str">
        <f>C3815</f>
        <v>Show</v>
      </c>
      <c r="D3814" s="55" t="s">
        <v>1230</v>
      </c>
      <c r="E3814" s="55"/>
      <c r="F3814" s="57" t="s">
        <v>1231</v>
      </c>
      <c r="G3814" s="53"/>
      <c r="H3814" s="54"/>
      <c r="I3814" s="75"/>
    </row>
    <row r="3815" spans="2:9" hidden="1" outlineLevel="1">
      <c r="B3815" s="76"/>
      <c r="C3815" s="2" t="str">
        <f>IF((COUNTIF(C3819:C3821,"Show")+COUNTIF(C3824:C3825,"Show")+COUNTIF(C3828:C3829,"Show"))&gt;0,"Show","Hide")</f>
        <v>Show</v>
      </c>
      <c r="D3815" s="23" t="s">
        <v>117</v>
      </c>
      <c r="E3815" s="13"/>
      <c r="G3815" s="13"/>
    </row>
    <row r="3816" spans="2:9" hidden="1" outlineLevel="1">
      <c r="B3816" s="76"/>
      <c r="C3816" s="9" t="str">
        <f>C3815</f>
        <v>Show</v>
      </c>
      <c r="D3816" s="23"/>
      <c r="E3816" s="13">
        <v>1.1000000000000001</v>
      </c>
      <c r="F3816" s="11" t="s">
        <v>118</v>
      </c>
      <c r="G3816" s="13"/>
    </row>
    <row r="3817" spans="2:9" hidden="1" outlineLevel="1">
      <c r="B3817" s="76"/>
      <c r="C3817" s="9" t="str">
        <f>C3816</f>
        <v>Show</v>
      </c>
      <c r="D3817" s="23"/>
      <c r="E3817" s="13"/>
      <c r="F3817" s="70" t="s">
        <v>119</v>
      </c>
      <c r="G3817" s="18" t="s">
        <v>677</v>
      </c>
    </row>
    <row r="3818" spans="2:9" hidden="1" outlineLevel="1">
      <c r="B3818" s="76"/>
      <c r="C3818" s="9" t="str">
        <f>C3817</f>
        <v>Show</v>
      </c>
      <c r="D3818" s="23"/>
      <c r="E3818" s="13"/>
      <c r="F3818" s="70"/>
      <c r="G3818" s="78" t="s">
        <v>121</v>
      </c>
      <c r="H3818" s="79" t="s">
        <v>2301</v>
      </c>
    </row>
    <row r="3819" spans="2:9" hidden="1" outlineLevel="1">
      <c r="B3819" s="76"/>
      <c r="C3819" s="9" t="str">
        <f>IF(COUNTIF(C3820:C3821,"Show")&gt;0,"Show","Hide")</f>
        <v>Show</v>
      </c>
      <c r="D3819" s="23"/>
      <c r="E3819" s="13">
        <v>1.2</v>
      </c>
      <c r="F3819" s="71" t="s">
        <v>131</v>
      </c>
      <c r="G3819" s="78"/>
    </row>
    <row r="3820" spans="2:9" hidden="1" outlineLevel="1">
      <c r="B3820" s="76"/>
      <c r="C3820" t="str">
        <f>$D$5972</f>
        <v>Show</v>
      </c>
      <c r="D3820" s="23"/>
      <c r="E3820" s="13"/>
      <c r="F3820" s="70" t="s">
        <v>119</v>
      </c>
      <c r="G3820" s="12" t="s">
        <v>3462</v>
      </c>
    </row>
    <row r="3821" spans="2:9" hidden="1" outlineLevel="1">
      <c r="B3821" s="76"/>
      <c r="C3821" s="9" t="str">
        <f>C3820</f>
        <v>Show</v>
      </c>
      <c r="D3821" s="23"/>
      <c r="E3821" s="13"/>
      <c r="F3821" s="70"/>
      <c r="G3821" s="78" t="s">
        <v>121</v>
      </c>
      <c r="H3821" s="75" t="s">
        <v>2830</v>
      </c>
    </row>
    <row r="3822" spans="2:9" hidden="1" outlineLevel="1">
      <c r="B3822" s="76"/>
      <c r="C3822" s="9" t="str">
        <f>C3815</f>
        <v>Show</v>
      </c>
      <c r="D3822" s="23" t="s">
        <v>613</v>
      </c>
      <c r="E3822" s="13"/>
      <c r="G3822" s="13"/>
    </row>
    <row r="3823" spans="2:9" hidden="1" outlineLevel="1">
      <c r="B3823" s="76"/>
      <c r="C3823" s="9" t="str">
        <f>C3815</f>
        <v>Show</v>
      </c>
      <c r="D3823" s="23"/>
      <c r="E3823" s="12" t="str">
        <f>IF(COUNTIF(C3824:C3825,"Show")&gt;0,"2.1 Product Requirements","No EGC Requirements")</f>
        <v>2.1 Product Requirements</v>
      </c>
      <c r="G3823" s="13"/>
    </row>
    <row r="3824" spans="2:9" hidden="1" outlineLevel="1">
      <c r="B3824" s="76"/>
      <c r="C3824" t="str">
        <f>$E$5972</f>
        <v>Show</v>
      </c>
      <c r="D3824" s="23"/>
      <c r="E3824" s="12"/>
      <c r="F3824" s="70" t="s">
        <v>119</v>
      </c>
      <c r="G3824" s="12" t="s">
        <v>3462</v>
      </c>
    </row>
    <row r="3825" spans="2:9" hidden="1" outlineLevel="1">
      <c r="B3825" s="76"/>
      <c r="C3825" s="9" t="str">
        <f>C3824</f>
        <v>Show</v>
      </c>
      <c r="D3825" s="23"/>
      <c r="E3825" s="12"/>
      <c r="G3825" s="30" t="s">
        <v>121</v>
      </c>
      <c r="H3825" s="75" t="s">
        <v>2831</v>
      </c>
    </row>
    <row r="3826" spans="2:9" hidden="1" outlineLevel="1">
      <c r="B3826" s="76"/>
      <c r="C3826" s="9" t="str">
        <f>C3815</f>
        <v>Show</v>
      </c>
      <c r="D3826" s="23" t="s">
        <v>187</v>
      </c>
      <c r="E3826" s="13"/>
      <c r="G3826" s="13"/>
    </row>
    <row r="3827" spans="2:9" hidden="1" outlineLevel="1">
      <c r="B3827" s="76"/>
      <c r="C3827" s="9" t="str">
        <f>C3815</f>
        <v>Show</v>
      </c>
      <c r="D3827" s="23"/>
      <c r="E3827" s="12" t="str">
        <f>IF(COUNTIF(C3828:C3829,"Show")&gt;0,"3.1 Execution Requirements","No EGC Requirements")</f>
        <v>3.1 Execution Requirements</v>
      </c>
      <c r="G3827" s="13"/>
    </row>
    <row r="3828" spans="2:9" hidden="1" outlineLevel="1">
      <c r="B3828" s="76"/>
      <c r="C3828" t="str">
        <f>$F$5972</f>
        <v>Show</v>
      </c>
      <c r="D3828" s="23"/>
      <c r="E3828" s="13"/>
      <c r="F3828" s="70" t="s">
        <v>119</v>
      </c>
      <c r="G3828" s="12" t="s">
        <v>3462</v>
      </c>
    </row>
    <row r="3829" spans="2:9" hidden="1" outlineLevel="1">
      <c r="B3829" s="76"/>
      <c r="C3829" s="9" t="str">
        <f>C3828</f>
        <v>Show</v>
      </c>
      <c r="D3829" s="23"/>
      <c r="E3829" s="13"/>
      <c r="G3829" s="78" t="s">
        <v>121</v>
      </c>
      <c r="H3829" s="75" t="s">
        <v>2832</v>
      </c>
    </row>
    <row r="3830" spans="2:9" hidden="1" outlineLevel="1">
      <c r="B3830" s="76"/>
      <c r="C3830" s="9" t="str">
        <f>C3815</f>
        <v>Show</v>
      </c>
    </row>
    <row r="3831" spans="2:9" collapsed="1">
      <c r="B3831" s="23"/>
      <c r="C3831" s="2" t="str">
        <f>C3832</f>
        <v>Show</v>
      </c>
      <c r="D3831" s="55" t="s">
        <v>2009</v>
      </c>
      <c r="E3831" s="55"/>
      <c r="F3831" s="57" t="s">
        <v>2010</v>
      </c>
      <c r="G3831" s="53"/>
      <c r="H3831" s="54"/>
      <c r="I3831" s="75"/>
    </row>
    <row r="3832" spans="2:9" hidden="1" outlineLevel="1">
      <c r="B3832" s="76"/>
      <c r="C3832" s="2" t="str">
        <f>IF((COUNTIF(C3836:C3838,"Show")+COUNTIF(C3841:C3842,"Show")+COUNTIF(C3845:C3846,"Show"))&gt;0,"Show","Hide")</f>
        <v>Show</v>
      </c>
      <c r="D3832" s="23" t="s">
        <v>117</v>
      </c>
      <c r="E3832" s="13"/>
      <c r="G3832" s="13"/>
    </row>
    <row r="3833" spans="2:9" hidden="1" outlineLevel="1">
      <c r="B3833" s="76"/>
      <c r="C3833" s="9" t="str">
        <f>C3832</f>
        <v>Show</v>
      </c>
      <c r="D3833" s="23"/>
      <c r="E3833" s="13">
        <v>1.1000000000000001</v>
      </c>
      <c r="F3833" s="11" t="s">
        <v>118</v>
      </c>
      <c r="G3833" s="13"/>
    </row>
    <row r="3834" spans="2:9" hidden="1" outlineLevel="1">
      <c r="B3834" s="76"/>
      <c r="C3834" s="9" t="str">
        <f>C3833</f>
        <v>Show</v>
      </c>
      <c r="D3834" s="23"/>
      <c r="E3834" s="13"/>
      <c r="F3834" s="70" t="s">
        <v>119</v>
      </c>
      <c r="H3834" s="18" t="s">
        <v>677</v>
      </c>
    </row>
    <row r="3835" spans="2:9" hidden="1" outlineLevel="1">
      <c r="B3835" s="76"/>
      <c r="C3835" s="9" t="str">
        <f>C3834</f>
        <v>Show</v>
      </c>
      <c r="D3835" s="23"/>
      <c r="E3835" s="13"/>
      <c r="F3835" s="70"/>
      <c r="G3835" s="78" t="s">
        <v>121</v>
      </c>
      <c r="H3835" s="79" t="s">
        <v>2301</v>
      </c>
    </row>
    <row r="3836" spans="2:9" hidden="1" outlineLevel="1">
      <c r="B3836" s="76"/>
      <c r="C3836" s="9" t="str">
        <f>IF(COUNTIF(C3837:C3838,"Show")&gt;0,"Show","Hide")</f>
        <v>Show</v>
      </c>
      <c r="D3836" s="23"/>
      <c r="E3836" s="13">
        <v>1.2</v>
      </c>
      <c r="F3836" s="71" t="s">
        <v>131</v>
      </c>
      <c r="G3836" s="78"/>
    </row>
    <row r="3837" spans="2:9" ht="30" hidden="1" outlineLevel="1">
      <c r="B3837" s="76"/>
      <c r="C3837" t="str">
        <f>$D$5989</f>
        <v>Show</v>
      </c>
      <c r="D3837" s="23"/>
      <c r="E3837" s="13"/>
      <c r="F3837" s="70" t="s">
        <v>119</v>
      </c>
      <c r="H3837" s="13" t="s">
        <v>3463</v>
      </c>
    </row>
    <row r="3838" spans="2:9" hidden="1" outlineLevel="1">
      <c r="B3838" s="76"/>
      <c r="C3838" s="9" t="str">
        <f>C3837</f>
        <v>Show</v>
      </c>
      <c r="D3838" s="23"/>
      <c r="E3838" s="13"/>
      <c r="F3838" s="70"/>
      <c r="G3838" s="78" t="s">
        <v>121</v>
      </c>
      <c r="H3838" s="75" t="s">
        <v>2833</v>
      </c>
    </row>
    <row r="3839" spans="2:9" hidden="1" outlineLevel="1">
      <c r="B3839" s="76"/>
      <c r="C3839" s="9" t="str">
        <f>C3832</f>
        <v>Show</v>
      </c>
      <c r="D3839" s="23" t="s">
        <v>613</v>
      </c>
      <c r="E3839" s="13"/>
      <c r="G3839" s="13"/>
    </row>
    <row r="3840" spans="2:9" hidden="1" outlineLevel="1">
      <c r="B3840" s="76"/>
      <c r="C3840" s="9" t="str">
        <f>C3832</f>
        <v>Show</v>
      </c>
      <c r="D3840" s="23"/>
      <c r="E3840" s="12" t="str">
        <f>IF(COUNTIF(C3841:C3842,"Show")&gt;0,"2.1 Product Requirements","No EGC Requirements")</f>
        <v>2.1 Product Requirements</v>
      </c>
      <c r="G3840" s="13"/>
    </row>
    <row r="3841" spans="2:9" ht="30" hidden="1" outlineLevel="1">
      <c r="B3841" s="76"/>
      <c r="C3841" t="str">
        <f>$E$5989</f>
        <v>Show</v>
      </c>
      <c r="D3841" s="23"/>
      <c r="E3841" s="12"/>
      <c r="F3841" s="70" t="s">
        <v>119</v>
      </c>
      <c r="H3841" s="13" t="s">
        <v>3463</v>
      </c>
    </row>
    <row r="3842" spans="2:9" hidden="1" outlineLevel="1">
      <c r="B3842" s="76"/>
      <c r="C3842" s="9" t="str">
        <f>C3841</f>
        <v>Show</v>
      </c>
      <c r="D3842" s="23"/>
      <c r="E3842" s="12"/>
      <c r="G3842" s="30" t="s">
        <v>121</v>
      </c>
      <c r="H3842" s="75" t="s">
        <v>2834</v>
      </c>
    </row>
    <row r="3843" spans="2:9" hidden="1" outlineLevel="1">
      <c r="B3843" s="76"/>
      <c r="C3843" s="9" t="str">
        <f>C3832</f>
        <v>Show</v>
      </c>
      <c r="D3843" s="23" t="s">
        <v>187</v>
      </c>
      <c r="E3843" s="13"/>
      <c r="G3843" s="13"/>
    </row>
    <row r="3844" spans="2:9" hidden="1" outlineLevel="1">
      <c r="B3844" s="76"/>
      <c r="C3844" s="9" t="str">
        <f>C3832</f>
        <v>Show</v>
      </c>
      <c r="D3844" s="23"/>
      <c r="E3844" s="12" t="str">
        <f>IF(COUNTIF(C3845:C3846,"Show")&gt;0,"3.1 Execution Requirements","No EGC Requirements")</f>
        <v>3.1 Execution Requirements</v>
      </c>
      <c r="G3844" s="13"/>
    </row>
    <row r="3845" spans="2:9" ht="30" hidden="1" outlineLevel="1">
      <c r="B3845" s="76"/>
      <c r="C3845" t="str">
        <f>$F$5989</f>
        <v>Show</v>
      </c>
      <c r="D3845" s="23"/>
      <c r="E3845" s="13"/>
      <c r="F3845" s="70" t="s">
        <v>119</v>
      </c>
      <c r="H3845" s="13" t="s">
        <v>3463</v>
      </c>
    </row>
    <row r="3846" spans="2:9" ht="30" hidden="1" outlineLevel="1">
      <c r="B3846" s="76"/>
      <c r="C3846" s="9" t="str">
        <f>C3845</f>
        <v>Show</v>
      </c>
      <c r="D3846" s="23"/>
      <c r="E3846" s="13"/>
      <c r="G3846" s="78" t="s">
        <v>121</v>
      </c>
      <c r="H3846" s="75" t="s">
        <v>2835</v>
      </c>
    </row>
    <row r="3847" spans="2:9" hidden="1" outlineLevel="1">
      <c r="B3847" s="76"/>
      <c r="C3847" s="9" t="str">
        <f>C3832</f>
        <v>Show</v>
      </c>
    </row>
    <row r="3848" spans="2:9" collapsed="1">
      <c r="B3848" s="23"/>
      <c r="C3848" s="2" t="str">
        <f>C3849</f>
        <v>Show</v>
      </c>
      <c r="D3848" s="55" t="s">
        <v>1680</v>
      </c>
      <c r="E3848" s="55"/>
      <c r="F3848" s="57" t="s">
        <v>1679</v>
      </c>
      <c r="G3848" s="53"/>
      <c r="H3848" s="54"/>
      <c r="I3848" s="75"/>
    </row>
    <row r="3849" spans="2:9" hidden="1" outlineLevel="1">
      <c r="B3849" s="76"/>
      <c r="C3849" s="2" t="str">
        <f>IF((COUNTIF(C3853:C3855,"Show")+COUNTIF(C3858:C3859,"Show")+COUNTIF(C3862:C3863,"Show"))&gt;0,"Show","Hide")</f>
        <v>Show</v>
      </c>
      <c r="D3849" s="23" t="s">
        <v>117</v>
      </c>
      <c r="E3849" s="13"/>
      <c r="G3849" s="13"/>
    </row>
    <row r="3850" spans="2:9" hidden="1" outlineLevel="1">
      <c r="B3850" s="76"/>
      <c r="C3850" s="9" t="str">
        <f>C3849</f>
        <v>Show</v>
      </c>
      <c r="D3850" s="23"/>
      <c r="E3850" s="13">
        <v>1.1000000000000001</v>
      </c>
      <c r="F3850" s="11" t="s">
        <v>118</v>
      </c>
      <c r="G3850" s="13"/>
    </row>
    <row r="3851" spans="2:9" hidden="1" outlineLevel="1">
      <c r="B3851" s="76"/>
      <c r="C3851" s="9" t="str">
        <f>C3850</f>
        <v>Show</v>
      </c>
      <c r="D3851" s="23"/>
      <c r="E3851" s="13"/>
      <c r="F3851" s="70" t="s">
        <v>119</v>
      </c>
      <c r="G3851" s="18" t="s">
        <v>677</v>
      </c>
    </row>
    <row r="3852" spans="2:9" hidden="1" outlineLevel="1">
      <c r="B3852" s="76"/>
      <c r="C3852" s="9" t="str">
        <f>C3851</f>
        <v>Show</v>
      </c>
      <c r="D3852" s="23"/>
      <c r="E3852" s="13"/>
      <c r="F3852" s="70"/>
      <c r="G3852" s="78" t="s">
        <v>121</v>
      </c>
      <c r="H3852" s="79" t="s">
        <v>2301</v>
      </c>
    </row>
    <row r="3853" spans="2:9" hidden="1" outlineLevel="1">
      <c r="B3853" s="76"/>
      <c r="C3853" s="9" t="str">
        <f>IF(COUNTIF(C3854:C3855,"Show")&gt;0,"Show","Hide")</f>
        <v>Show</v>
      </c>
      <c r="D3853" s="23"/>
      <c r="E3853" s="13">
        <v>1.2</v>
      </c>
      <c r="F3853" s="71" t="s">
        <v>131</v>
      </c>
      <c r="G3853" s="78"/>
    </row>
    <row r="3854" spans="2:9" hidden="1" outlineLevel="1">
      <c r="B3854" s="76"/>
      <c r="C3854" t="str">
        <f>$D$5972</f>
        <v>Show</v>
      </c>
      <c r="D3854" s="23"/>
      <c r="E3854" s="13"/>
      <c r="F3854" s="70" t="s">
        <v>119</v>
      </c>
      <c r="G3854" s="12" t="s">
        <v>3462</v>
      </c>
    </row>
    <row r="3855" spans="2:9" hidden="1" outlineLevel="1">
      <c r="B3855" s="76"/>
      <c r="C3855" s="9" t="str">
        <f>C3854</f>
        <v>Show</v>
      </c>
      <c r="D3855" s="23"/>
      <c r="E3855" s="13"/>
      <c r="F3855" s="70"/>
      <c r="G3855" s="78" t="s">
        <v>121</v>
      </c>
      <c r="H3855" s="75" t="s">
        <v>2830</v>
      </c>
    </row>
    <row r="3856" spans="2:9" hidden="1" outlineLevel="1">
      <c r="B3856" s="76"/>
      <c r="C3856" s="9" t="str">
        <f>C3849</f>
        <v>Show</v>
      </c>
      <c r="D3856" s="23" t="s">
        <v>613</v>
      </c>
      <c r="E3856" s="13"/>
      <c r="G3856" s="13"/>
    </row>
    <row r="3857" spans="2:9" hidden="1" outlineLevel="1">
      <c r="B3857" s="76"/>
      <c r="C3857" s="9" t="str">
        <f>C3849</f>
        <v>Show</v>
      </c>
      <c r="D3857" s="23"/>
      <c r="E3857" s="12" t="str">
        <f>IF(COUNTIF(C3858:C3859,"Show")&gt;0,"2.1 Product Requirements","No EGC Requirements")</f>
        <v>2.1 Product Requirements</v>
      </c>
      <c r="G3857" s="13"/>
    </row>
    <row r="3858" spans="2:9" hidden="1" outlineLevel="1">
      <c r="B3858" s="76"/>
      <c r="C3858" t="str">
        <f>$E$5972</f>
        <v>Show</v>
      </c>
      <c r="D3858" s="23"/>
      <c r="E3858" s="12"/>
      <c r="F3858" s="70" t="s">
        <v>119</v>
      </c>
      <c r="G3858" s="12" t="s">
        <v>3462</v>
      </c>
    </row>
    <row r="3859" spans="2:9" hidden="1" outlineLevel="1">
      <c r="B3859" s="76"/>
      <c r="C3859" s="9" t="str">
        <f>C3858</f>
        <v>Show</v>
      </c>
      <c r="D3859" s="23"/>
      <c r="E3859" s="12"/>
      <c r="G3859" s="30" t="s">
        <v>121</v>
      </c>
      <c r="H3859" s="75" t="s">
        <v>2831</v>
      </c>
    </row>
    <row r="3860" spans="2:9" hidden="1" outlineLevel="1">
      <c r="B3860" s="76"/>
      <c r="C3860" s="9" t="str">
        <f>C3849</f>
        <v>Show</v>
      </c>
      <c r="D3860" s="23" t="s">
        <v>187</v>
      </c>
      <c r="E3860" s="13"/>
      <c r="G3860" s="13"/>
    </row>
    <row r="3861" spans="2:9" hidden="1" outlineLevel="1">
      <c r="B3861" s="76"/>
      <c r="C3861" s="9" t="str">
        <f>C3849</f>
        <v>Show</v>
      </c>
      <c r="D3861" s="23"/>
      <c r="E3861" s="12" t="str">
        <f>IF(COUNTIF(C3862:C3863,"Show")&gt;0,"3.1 Execution Requirements","No EGC Requirements")</f>
        <v>3.1 Execution Requirements</v>
      </c>
      <c r="G3861" s="13"/>
    </row>
    <row r="3862" spans="2:9" hidden="1" outlineLevel="1">
      <c r="B3862" s="76"/>
      <c r="C3862" t="str">
        <f>$F$5972</f>
        <v>Show</v>
      </c>
      <c r="D3862" s="23"/>
      <c r="E3862" s="13"/>
      <c r="F3862" s="70" t="s">
        <v>119</v>
      </c>
      <c r="G3862" s="12" t="s">
        <v>3462</v>
      </c>
    </row>
    <row r="3863" spans="2:9" hidden="1" outlineLevel="1">
      <c r="B3863" s="76"/>
      <c r="C3863" s="9" t="str">
        <f>C3862</f>
        <v>Show</v>
      </c>
      <c r="D3863" s="23"/>
      <c r="E3863" s="13"/>
      <c r="G3863" s="78" t="s">
        <v>121</v>
      </c>
      <c r="H3863" s="75" t="s">
        <v>2832</v>
      </c>
    </row>
    <row r="3864" spans="2:9" hidden="1" outlineLevel="1">
      <c r="B3864" s="76"/>
      <c r="C3864" s="9" t="str">
        <f>C3849</f>
        <v>Show</v>
      </c>
    </row>
    <row r="3865" spans="2:9" collapsed="1">
      <c r="B3865" s="76"/>
      <c r="C3865" s="7" t="s">
        <v>116</v>
      </c>
      <c r="D3865" s="80"/>
      <c r="E3865" s="132"/>
      <c r="F3865" s="12"/>
      <c r="G3865" s="69"/>
      <c r="I3865" s="75"/>
    </row>
    <row r="3866" spans="2:9">
      <c r="B3866" s="76"/>
      <c r="C3866" s="7" t="s">
        <v>116</v>
      </c>
      <c r="D3866" s="38" t="s">
        <v>555</v>
      </c>
      <c r="E3866" s="45"/>
      <c r="F3866" s="46"/>
      <c r="G3866" s="39"/>
      <c r="H3866" s="41"/>
      <c r="I3866" s="75"/>
    </row>
    <row r="3867" spans="2:9">
      <c r="B3867" s="23"/>
      <c r="C3867" s="2" t="str">
        <f>C3868</f>
        <v>Show</v>
      </c>
      <c r="D3867" s="55" t="s">
        <v>1682</v>
      </c>
      <c r="E3867" s="60"/>
      <c r="F3867" s="56" t="s">
        <v>1681</v>
      </c>
      <c r="G3867" s="53"/>
      <c r="H3867" s="54"/>
      <c r="I3867" s="75"/>
    </row>
    <row r="3868" spans="2:9" hidden="1" outlineLevel="1">
      <c r="B3868" s="76"/>
      <c r="C3868" s="2" t="str">
        <f>IF((COUNTIF(C3872:C3882,"Show")+COUNTIF(C3885:C3892,"Show")+COUNTIF(C3895:C3904,"Show"))&gt;0,"Show","Hide")</f>
        <v>Show</v>
      </c>
      <c r="D3868" s="23" t="s">
        <v>117</v>
      </c>
      <c r="E3868" s="13"/>
      <c r="G3868" s="13"/>
    </row>
    <row r="3869" spans="2:9" hidden="1" outlineLevel="1">
      <c r="B3869" s="76"/>
      <c r="C3869" s="9" t="str">
        <f>C3868</f>
        <v>Show</v>
      </c>
      <c r="D3869" s="23"/>
      <c r="E3869" s="13">
        <v>1.1000000000000001</v>
      </c>
      <c r="F3869" s="11" t="s">
        <v>118</v>
      </c>
      <c r="G3869" s="13"/>
    </row>
    <row r="3870" spans="2:9" hidden="1" outlineLevel="1">
      <c r="B3870" s="76"/>
      <c r="C3870" s="9" t="str">
        <f>C3869</f>
        <v>Show</v>
      </c>
      <c r="D3870" s="23"/>
      <c r="E3870" s="13"/>
      <c r="F3870" s="70" t="s">
        <v>119</v>
      </c>
      <c r="G3870" s="18" t="s">
        <v>677</v>
      </c>
    </row>
    <row r="3871" spans="2:9" hidden="1" outlineLevel="1">
      <c r="B3871" s="76"/>
      <c r="C3871" s="9" t="str">
        <f>C3870</f>
        <v>Show</v>
      </c>
      <c r="D3871" s="23"/>
      <c r="E3871" s="13"/>
      <c r="F3871" s="70"/>
      <c r="G3871" s="78" t="s">
        <v>121</v>
      </c>
      <c r="H3871" s="79" t="s">
        <v>2301</v>
      </c>
    </row>
    <row r="3872" spans="2:9" hidden="1" outlineLevel="1">
      <c r="B3872" s="76"/>
      <c r="C3872" s="9" t="str">
        <f>IF(COUNTIF(C3873:C3882,"Show")&gt;0,"Show","Hide")</f>
        <v>Show</v>
      </c>
      <c r="D3872" s="23"/>
      <c r="E3872" s="13">
        <v>1.2</v>
      </c>
      <c r="F3872" s="71" t="s">
        <v>131</v>
      </c>
      <c r="G3872" s="78"/>
    </row>
    <row r="3873" spans="2:8" hidden="1" outlineLevel="1">
      <c r="B3873" s="76"/>
      <c r="C3873" t="str">
        <f>$D$5964</f>
        <v>Show</v>
      </c>
      <c r="D3873" s="23"/>
      <c r="E3873" s="13"/>
      <c r="F3873" s="70" t="s">
        <v>119</v>
      </c>
      <c r="G3873" s="12" t="s">
        <v>3410</v>
      </c>
    </row>
    <row r="3874" spans="2:8" hidden="1" outlineLevel="1">
      <c r="B3874" s="76"/>
      <c r="C3874" s="9" t="str">
        <f>C3873</f>
        <v>Show</v>
      </c>
      <c r="D3874" s="23"/>
      <c r="E3874" s="13"/>
      <c r="F3874" s="70"/>
      <c r="G3874" s="78" t="s">
        <v>121</v>
      </c>
      <c r="H3874" s="75" t="s">
        <v>2335</v>
      </c>
    </row>
    <row r="3875" spans="2:8" hidden="1" outlineLevel="1">
      <c r="B3875" s="76"/>
      <c r="C3875" t="str">
        <f>$D$5965</f>
        <v>Show</v>
      </c>
      <c r="D3875" s="23"/>
      <c r="E3875" s="13"/>
      <c r="F3875" s="70" t="str">
        <f>CHAR(65+(COUNTIF(C$3873:C3874,"Show")/2))&amp;"."</f>
        <v>B.</v>
      </c>
      <c r="G3875" s="12" t="s">
        <v>3414</v>
      </c>
    </row>
    <row r="3876" spans="2:8" hidden="1" outlineLevel="1">
      <c r="B3876" s="76"/>
      <c r="C3876" s="9" t="str">
        <f>C3875</f>
        <v>Show</v>
      </c>
      <c r="D3876" s="23"/>
      <c r="E3876" s="13"/>
      <c r="F3876" s="70"/>
      <c r="G3876" s="78" t="s">
        <v>121</v>
      </c>
      <c r="H3876" s="75" t="s">
        <v>2350</v>
      </c>
    </row>
    <row r="3877" spans="2:8" hidden="1" outlineLevel="1">
      <c r="B3877" s="76"/>
      <c r="C3877" t="str">
        <f>$D$5966</f>
        <v>Show</v>
      </c>
      <c r="D3877" s="23"/>
      <c r="E3877" s="13"/>
      <c r="F3877" s="70" t="str">
        <f>CHAR(65+(COUNTIF(C$3873:C3876,"Show")/2))&amp;"."</f>
        <v>C.</v>
      </c>
      <c r="G3877" s="12" t="s">
        <v>3449</v>
      </c>
    </row>
    <row r="3878" spans="2:8" hidden="1" outlineLevel="1">
      <c r="B3878" s="76"/>
      <c r="C3878" s="9" t="str">
        <f>C3877</f>
        <v>Show</v>
      </c>
      <c r="D3878" s="23"/>
      <c r="E3878" s="13"/>
      <c r="F3878" s="70"/>
      <c r="G3878" s="78" t="s">
        <v>121</v>
      </c>
      <c r="H3878" s="75" t="s">
        <v>2336</v>
      </c>
    </row>
    <row r="3879" spans="2:8" hidden="1" outlineLevel="1">
      <c r="B3879" s="76"/>
      <c r="C3879" t="str">
        <f>$D$5967</f>
        <v>Show</v>
      </c>
      <c r="D3879" s="23"/>
      <c r="E3879" s="13"/>
      <c r="F3879" s="70" t="str">
        <f>CHAR(65+(COUNTIF(C$3873:C3878,"Show")/2))&amp;"."</f>
        <v>D.</v>
      </c>
      <c r="G3879" s="12" t="s">
        <v>3493</v>
      </c>
    </row>
    <row r="3880" spans="2:8" ht="30" hidden="1" outlineLevel="1">
      <c r="B3880" s="76"/>
      <c r="C3880" s="9" t="str">
        <f>C3879</f>
        <v>Show</v>
      </c>
      <c r="D3880" s="23"/>
      <c r="E3880" s="13"/>
      <c r="F3880" s="70"/>
      <c r="G3880" s="78" t="s">
        <v>121</v>
      </c>
      <c r="H3880" s="75" t="s">
        <v>2838</v>
      </c>
    </row>
    <row r="3881" spans="2:8" hidden="1" outlineLevel="1">
      <c r="B3881" s="76"/>
      <c r="C3881" t="str">
        <f>$D$5993</f>
        <v>Show</v>
      </c>
      <c r="D3881" s="23"/>
      <c r="E3881" s="13"/>
      <c r="F3881" s="70" t="str">
        <f>CHAR(65+(COUNTIF(C$3873:C3880,"Show")/2))&amp;"."</f>
        <v>E.</v>
      </c>
      <c r="G3881" s="12" t="s">
        <v>3453</v>
      </c>
    </row>
    <row r="3882" spans="2:8" ht="30" hidden="1" outlineLevel="1">
      <c r="B3882" s="76"/>
      <c r="C3882" s="9" t="str">
        <f>C3881</f>
        <v>Show</v>
      </c>
      <c r="D3882" s="23"/>
      <c r="E3882" s="13"/>
      <c r="F3882" s="70"/>
      <c r="G3882" s="78" t="s">
        <v>121</v>
      </c>
      <c r="H3882" s="75" t="s">
        <v>2837</v>
      </c>
    </row>
    <row r="3883" spans="2:8" hidden="1" outlineLevel="1">
      <c r="B3883" s="76"/>
      <c r="C3883" s="9" t="str">
        <f>C3868</f>
        <v>Show</v>
      </c>
      <c r="D3883" s="23" t="s">
        <v>613</v>
      </c>
      <c r="E3883" s="13"/>
      <c r="G3883" s="13"/>
    </row>
    <row r="3884" spans="2:8" hidden="1" outlineLevel="1">
      <c r="B3884" s="76"/>
      <c r="C3884" s="9" t="str">
        <f>C3868</f>
        <v>Show</v>
      </c>
      <c r="D3884" s="23"/>
      <c r="E3884" s="12" t="str">
        <f>IF(COUNTIF(C3885:C3892,"Show")&gt;0,"2.1 Product Requirements","No EGC Requirements")</f>
        <v>2.1 Product Requirements</v>
      </c>
      <c r="G3884" s="13"/>
    </row>
    <row r="3885" spans="2:8" hidden="1" outlineLevel="1">
      <c r="B3885" s="76"/>
      <c r="C3885" t="str">
        <f>$E$5964</f>
        <v>Show</v>
      </c>
      <c r="D3885" s="23"/>
      <c r="E3885" s="12"/>
      <c r="F3885" s="70" t="s">
        <v>119</v>
      </c>
      <c r="G3885" s="12" t="s">
        <v>3410</v>
      </c>
    </row>
    <row r="3886" spans="2:8" hidden="1" outlineLevel="1">
      <c r="B3886" s="76"/>
      <c r="C3886" s="9" t="str">
        <f>C3885</f>
        <v>Show</v>
      </c>
      <c r="D3886" s="23"/>
      <c r="E3886" s="12"/>
      <c r="G3886" s="30" t="s">
        <v>121</v>
      </c>
      <c r="H3886" s="75" t="s">
        <v>2337</v>
      </c>
    </row>
    <row r="3887" spans="2:8" hidden="1" outlineLevel="1">
      <c r="B3887" s="76"/>
      <c r="C3887" t="str">
        <f>$E$5965</f>
        <v>Show</v>
      </c>
      <c r="D3887" s="23"/>
      <c r="E3887" s="12"/>
      <c r="F3887" s="70" t="str">
        <f>CHAR(65+(COUNTIF(C$3885:C3886,"Show")/2))&amp;"."</f>
        <v>B.</v>
      </c>
      <c r="G3887" s="12" t="s">
        <v>3414</v>
      </c>
    </row>
    <row r="3888" spans="2:8" hidden="1" outlineLevel="1">
      <c r="B3888" s="76"/>
      <c r="C3888" s="9" t="str">
        <f>C3887</f>
        <v>Show</v>
      </c>
      <c r="D3888" s="23"/>
      <c r="E3888" s="12"/>
      <c r="G3888" s="30" t="s">
        <v>121</v>
      </c>
      <c r="H3888" s="75" t="s">
        <v>2351</v>
      </c>
    </row>
    <row r="3889" spans="2:8" hidden="1" outlineLevel="1">
      <c r="B3889" s="76"/>
      <c r="C3889" t="str">
        <f>$E$5966</f>
        <v>Show</v>
      </c>
      <c r="D3889" s="23"/>
      <c r="E3889" s="12"/>
      <c r="F3889" s="70" t="str">
        <f>CHAR(65+(COUNTIF(C$3885:C3888,"Show")/2))&amp;"."</f>
        <v>C.</v>
      </c>
      <c r="G3889" s="12" t="s">
        <v>3449</v>
      </c>
    </row>
    <row r="3890" spans="2:8" hidden="1" outlineLevel="1">
      <c r="B3890" s="76"/>
      <c r="C3890" s="9" t="str">
        <f>C3889</f>
        <v>Show</v>
      </c>
      <c r="D3890" s="23"/>
      <c r="E3890" s="12"/>
      <c r="G3890" s="30" t="s">
        <v>121</v>
      </c>
      <c r="H3890" s="75" t="s">
        <v>2338</v>
      </c>
    </row>
    <row r="3891" spans="2:8" hidden="1" outlineLevel="1">
      <c r="B3891" s="76"/>
      <c r="C3891" t="str">
        <f>$E$5967</f>
        <v>Show</v>
      </c>
      <c r="D3891" s="23"/>
      <c r="E3891" s="12"/>
      <c r="F3891" s="70" t="str">
        <f>CHAR(65+(COUNTIF(C$3885:C3890,"Show")/2))&amp;"."</f>
        <v>D.</v>
      </c>
      <c r="G3891" s="12" t="s">
        <v>3493</v>
      </c>
    </row>
    <row r="3892" spans="2:8" hidden="1" outlineLevel="1">
      <c r="B3892" s="76"/>
      <c r="C3892" s="9" t="str">
        <f>C3891</f>
        <v>Show</v>
      </c>
      <c r="D3892" s="23"/>
      <c r="E3892" s="12"/>
      <c r="G3892" s="30" t="s">
        <v>121</v>
      </c>
      <c r="H3892" s="75" t="s">
        <v>2839</v>
      </c>
    </row>
    <row r="3893" spans="2:8" hidden="1" outlineLevel="1">
      <c r="B3893" s="76"/>
      <c r="C3893" s="9" t="str">
        <f>C3868</f>
        <v>Show</v>
      </c>
      <c r="D3893" s="23" t="s">
        <v>187</v>
      </c>
      <c r="E3893" s="13"/>
      <c r="G3893" s="13"/>
    </row>
    <row r="3894" spans="2:8" hidden="1" outlineLevel="1">
      <c r="B3894" s="76"/>
      <c r="C3894" s="9" t="str">
        <f>C3868</f>
        <v>Show</v>
      </c>
      <c r="D3894" s="23"/>
      <c r="E3894" s="12" t="str">
        <f>IF(COUNTIF(C3895:C3904,"Show")&gt;0,"3.1 Execution Requirements","No EGC Requirements")</f>
        <v>3.1 Execution Requirements</v>
      </c>
      <c r="G3894" s="13"/>
    </row>
    <row r="3895" spans="2:8" hidden="1" outlineLevel="1">
      <c r="B3895" s="76"/>
      <c r="C3895" t="str">
        <f>$F$5964</f>
        <v>Show</v>
      </c>
      <c r="D3895" s="23"/>
      <c r="E3895" s="13"/>
      <c r="F3895" s="70" t="s">
        <v>119</v>
      </c>
      <c r="G3895" s="12" t="s">
        <v>3410</v>
      </c>
    </row>
    <row r="3896" spans="2:8" ht="30" hidden="1" outlineLevel="1">
      <c r="B3896" s="76"/>
      <c r="C3896" s="9" t="str">
        <f>C3895</f>
        <v>Show</v>
      </c>
      <c r="D3896" s="23"/>
      <c r="E3896" s="13"/>
      <c r="G3896" s="78" t="s">
        <v>121</v>
      </c>
      <c r="H3896" s="75" t="s">
        <v>2339</v>
      </c>
    </row>
    <row r="3897" spans="2:8" hidden="1" outlineLevel="1">
      <c r="B3897" s="76"/>
      <c r="C3897" t="str">
        <f>$F$5965</f>
        <v>Show</v>
      </c>
      <c r="D3897" s="23"/>
      <c r="E3897" s="13"/>
      <c r="F3897" s="70" t="str">
        <f>CHAR(65+(COUNTIF(C$3895:C3896,"Show")/2))&amp;"."</f>
        <v>B.</v>
      </c>
      <c r="G3897" s="12" t="s">
        <v>3414</v>
      </c>
    </row>
    <row r="3898" spans="2:8" ht="30" hidden="1" outlineLevel="1">
      <c r="B3898" s="76"/>
      <c r="C3898" s="9" t="str">
        <f>C3897</f>
        <v>Show</v>
      </c>
      <c r="D3898" s="23"/>
      <c r="E3898" s="13"/>
      <c r="G3898" s="78" t="s">
        <v>121</v>
      </c>
      <c r="H3898" s="75" t="s">
        <v>2352</v>
      </c>
    </row>
    <row r="3899" spans="2:8" hidden="1" outlineLevel="1">
      <c r="B3899" s="76"/>
      <c r="C3899" t="str">
        <f>$F$5966</f>
        <v>Show</v>
      </c>
      <c r="D3899" s="23"/>
      <c r="E3899" s="13"/>
      <c r="F3899" s="70" t="str">
        <f>CHAR(65+(COUNTIF(C$3895:C3898,"Show")/2))&amp;"."</f>
        <v>C.</v>
      </c>
      <c r="G3899" s="12" t="s">
        <v>3449</v>
      </c>
    </row>
    <row r="3900" spans="2:8" hidden="1" outlineLevel="1">
      <c r="B3900" s="76"/>
      <c r="C3900" s="9" t="str">
        <f>C3899</f>
        <v>Show</v>
      </c>
      <c r="D3900" s="23"/>
      <c r="E3900" s="13"/>
      <c r="G3900" s="78" t="s">
        <v>121</v>
      </c>
      <c r="H3900" s="75" t="s">
        <v>2841</v>
      </c>
    </row>
    <row r="3901" spans="2:8" hidden="1" outlineLevel="1">
      <c r="B3901" s="76"/>
      <c r="C3901" t="str">
        <f>$F$5967</f>
        <v>Show</v>
      </c>
      <c r="D3901" s="23"/>
      <c r="E3901" s="13"/>
      <c r="F3901" s="70" t="str">
        <f>CHAR(65+(COUNTIF(C$3895:C3900,"Show")/2))&amp;"."</f>
        <v>D.</v>
      </c>
      <c r="G3901" s="12" t="s">
        <v>3493</v>
      </c>
    </row>
    <row r="3902" spans="2:8" ht="30" hidden="1" outlineLevel="1">
      <c r="B3902" s="76"/>
      <c r="C3902" s="9" t="str">
        <f>C3901</f>
        <v>Show</v>
      </c>
      <c r="D3902" s="23"/>
      <c r="E3902" s="13"/>
      <c r="G3902" s="78" t="s">
        <v>121</v>
      </c>
      <c r="H3902" s="75" t="s">
        <v>2840</v>
      </c>
    </row>
    <row r="3903" spans="2:8" hidden="1" outlineLevel="1">
      <c r="B3903" s="76"/>
      <c r="C3903" t="str">
        <f>$F$5993</f>
        <v>Show</v>
      </c>
      <c r="D3903" s="23"/>
      <c r="E3903" s="13"/>
      <c r="F3903" s="70" t="str">
        <f>CHAR(65+(COUNTIF(C$3895:C3902,"Show")/2))&amp;"."</f>
        <v>E.</v>
      </c>
      <c r="G3903" s="12" t="s">
        <v>3453</v>
      </c>
    </row>
    <row r="3904" spans="2:8" ht="30" hidden="1" outlineLevel="1">
      <c r="B3904" s="76"/>
      <c r="C3904" s="9" t="str">
        <f>C3903</f>
        <v>Show</v>
      </c>
      <c r="D3904" s="23"/>
      <c r="E3904" s="13"/>
      <c r="G3904" s="78" t="s">
        <v>121</v>
      </c>
      <c r="H3904" s="75" t="s">
        <v>2836</v>
      </c>
    </row>
    <row r="3905" spans="2:9" hidden="1" outlineLevel="1">
      <c r="B3905" s="76"/>
      <c r="C3905" s="9" t="str">
        <f>C3868</f>
        <v>Show</v>
      </c>
    </row>
    <row r="3906" spans="2:9" collapsed="1">
      <c r="B3906" s="23"/>
      <c r="C3906" s="2" t="str">
        <f>C3907</f>
        <v>Show</v>
      </c>
      <c r="D3906" s="60" t="s">
        <v>300</v>
      </c>
      <c r="E3906" s="55"/>
      <c r="F3906" s="56" t="s">
        <v>301</v>
      </c>
      <c r="G3906" s="53"/>
      <c r="H3906" s="54"/>
      <c r="I3906" s="75"/>
    </row>
    <row r="3907" spans="2:9" hidden="1" outlineLevel="1">
      <c r="B3907" s="76"/>
      <c r="C3907" s="2" t="str">
        <f>IF((COUNTIF(C3911:C3921,"Show")+COUNTIF(C3924:C3931,"Show")+COUNTIF(C3934:C3943,"Show"))&gt;0,"Show","Hide")</f>
        <v>Show</v>
      </c>
      <c r="D3907" s="23" t="s">
        <v>117</v>
      </c>
      <c r="E3907" s="13"/>
      <c r="G3907" s="13"/>
    </row>
    <row r="3908" spans="2:9" hidden="1" outlineLevel="1">
      <c r="B3908" s="76"/>
      <c r="C3908" s="9" t="str">
        <f>C3907</f>
        <v>Show</v>
      </c>
      <c r="D3908" s="23"/>
      <c r="E3908" s="13">
        <v>1.1000000000000001</v>
      </c>
      <c r="F3908" s="11" t="s">
        <v>118</v>
      </c>
      <c r="G3908" s="13"/>
    </row>
    <row r="3909" spans="2:9" hidden="1" outlineLevel="1">
      <c r="B3909" s="76"/>
      <c r="C3909" s="9" t="str">
        <f>C3908</f>
        <v>Show</v>
      </c>
      <c r="D3909" s="23"/>
      <c r="E3909" s="13"/>
      <c r="F3909" s="70" t="s">
        <v>119</v>
      </c>
      <c r="G3909" s="18" t="s">
        <v>677</v>
      </c>
    </row>
    <row r="3910" spans="2:9" hidden="1" outlineLevel="1">
      <c r="B3910" s="76"/>
      <c r="C3910" s="9" t="str">
        <f>C3909</f>
        <v>Show</v>
      </c>
      <c r="D3910" s="23"/>
      <c r="E3910" s="13"/>
      <c r="F3910" s="70"/>
      <c r="G3910" s="78" t="s">
        <v>121</v>
      </c>
      <c r="H3910" s="79" t="s">
        <v>2301</v>
      </c>
    </row>
    <row r="3911" spans="2:9" hidden="1" outlineLevel="1">
      <c r="B3911" s="76"/>
      <c r="C3911" s="9" t="str">
        <f>IF(COUNTIF(C3912:C3921,"Show")&gt;0,"Show","Hide")</f>
        <v>Show</v>
      </c>
      <c r="D3911" s="23"/>
      <c r="E3911" s="13">
        <v>1.2</v>
      </c>
      <c r="F3911" s="71" t="s">
        <v>131</v>
      </c>
      <c r="G3911" s="78"/>
    </row>
    <row r="3912" spans="2:9" hidden="1" outlineLevel="1">
      <c r="B3912" s="76"/>
      <c r="C3912" t="str">
        <f>$D$5964</f>
        <v>Show</v>
      </c>
      <c r="D3912" s="23"/>
      <c r="E3912" s="13"/>
      <c r="F3912" s="70" t="s">
        <v>119</v>
      </c>
      <c r="G3912" s="12" t="s">
        <v>3410</v>
      </c>
    </row>
    <row r="3913" spans="2:9" hidden="1" outlineLevel="1">
      <c r="B3913" s="76"/>
      <c r="C3913" s="9" t="str">
        <f>C3912</f>
        <v>Show</v>
      </c>
      <c r="D3913" s="23"/>
      <c r="E3913" s="13"/>
      <c r="F3913" s="70"/>
      <c r="G3913" s="78" t="s">
        <v>121</v>
      </c>
      <c r="H3913" s="75" t="s">
        <v>2335</v>
      </c>
    </row>
    <row r="3914" spans="2:9" hidden="1" outlineLevel="1">
      <c r="B3914" s="76"/>
      <c r="C3914" t="str">
        <f>$D$5965</f>
        <v>Show</v>
      </c>
      <c r="D3914" s="23"/>
      <c r="E3914" s="13"/>
      <c r="F3914" s="70" t="str">
        <f>CHAR(65+(COUNTIF(C$3912:C3913,"Show")/2))&amp;"."</f>
        <v>B.</v>
      </c>
      <c r="G3914" s="12" t="s">
        <v>3414</v>
      </c>
    </row>
    <row r="3915" spans="2:9" hidden="1" outlineLevel="1">
      <c r="B3915" s="76"/>
      <c r="C3915" s="9" t="str">
        <f>C3914</f>
        <v>Show</v>
      </c>
      <c r="D3915" s="23"/>
      <c r="E3915" s="13"/>
      <c r="F3915" s="70"/>
      <c r="G3915" s="78" t="s">
        <v>121</v>
      </c>
      <c r="H3915" s="75" t="s">
        <v>2350</v>
      </c>
    </row>
    <row r="3916" spans="2:9" hidden="1" outlineLevel="1">
      <c r="B3916" s="76"/>
      <c r="C3916" t="str">
        <f>$D$5966</f>
        <v>Show</v>
      </c>
      <c r="D3916" s="23"/>
      <c r="E3916" s="13"/>
      <c r="F3916" s="70" t="str">
        <f>CHAR(65+(COUNTIF(C$3912:C3915,"Show")/2))&amp;"."</f>
        <v>C.</v>
      </c>
      <c r="G3916" s="12" t="s">
        <v>3449</v>
      </c>
    </row>
    <row r="3917" spans="2:9" hidden="1" outlineLevel="1">
      <c r="B3917" s="76"/>
      <c r="C3917" s="9" t="str">
        <f>C3916</f>
        <v>Show</v>
      </c>
      <c r="D3917" s="23"/>
      <c r="E3917" s="13"/>
      <c r="F3917" s="70"/>
      <c r="G3917" s="78" t="s">
        <v>121</v>
      </c>
      <c r="H3917" s="75" t="s">
        <v>2336</v>
      </c>
    </row>
    <row r="3918" spans="2:9" hidden="1" outlineLevel="1">
      <c r="B3918" s="76"/>
      <c r="C3918" t="str">
        <f>$D$5967</f>
        <v>Show</v>
      </c>
      <c r="D3918" s="23"/>
      <c r="E3918" s="13"/>
      <c r="F3918" s="70" t="str">
        <f>CHAR(65+(COUNTIF(C$3912:C3917,"Show")/2))&amp;"."</f>
        <v>D.</v>
      </c>
      <c r="G3918" s="12" t="s">
        <v>3493</v>
      </c>
    </row>
    <row r="3919" spans="2:9" ht="30" hidden="1" outlineLevel="1">
      <c r="B3919" s="76"/>
      <c r="C3919" s="9" t="str">
        <f>C3918</f>
        <v>Show</v>
      </c>
      <c r="D3919" s="23"/>
      <c r="E3919" s="13"/>
      <c r="F3919" s="70"/>
      <c r="G3919" s="78" t="s">
        <v>121</v>
      </c>
      <c r="H3919" s="75" t="s">
        <v>2838</v>
      </c>
    </row>
    <row r="3920" spans="2:9" hidden="1" outlineLevel="1">
      <c r="B3920" s="76"/>
      <c r="C3920" t="str">
        <f>$D$5993</f>
        <v>Show</v>
      </c>
      <c r="D3920" s="23"/>
      <c r="E3920" s="13"/>
      <c r="F3920" s="70" t="str">
        <f>CHAR(65+(COUNTIF(C$3912:C3919,"Show")/2))&amp;"."</f>
        <v>E.</v>
      </c>
      <c r="G3920" s="12" t="s">
        <v>3453</v>
      </c>
    </row>
    <row r="3921" spans="2:8" ht="30" hidden="1" outlineLevel="1">
      <c r="B3921" s="76"/>
      <c r="C3921" s="9" t="str">
        <f>C3920</f>
        <v>Show</v>
      </c>
      <c r="D3921" s="23"/>
      <c r="E3921" s="13"/>
      <c r="F3921" s="70"/>
      <c r="G3921" s="78" t="s">
        <v>121</v>
      </c>
      <c r="H3921" s="75" t="s">
        <v>2837</v>
      </c>
    </row>
    <row r="3922" spans="2:8" hidden="1" outlineLevel="1">
      <c r="B3922" s="76"/>
      <c r="C3922" s="9" t="str">
        <f>C3907</f>
        <v>Show</v>
      </c>
      <c r="D3922" s="23" t="s">
        <v>613</v>
      </c>
      <c r="E3922" s="13"/>
      <c r="G3922" s="13"/>
    </row>
    <row r="3923" spans="2:8" hidden="1" outlineLevel="1">
      <c r="B3923" s="76"/>
      <c r="C3923" s="9" t="str">
        <f>C3907</f>
        <v>Show</v>
      </c>
      <c r="D3923" s="23"/>
      <c r="E3923" s="12" t="str">
        <f>IF(COUNTIF(C3924:C3931,"Show")&gt;0,"2.1 Product Requirements","No EGC Requirements")</f>
        <v>2.1 Product Requirements</v>
      </c>
      <c r="G3923" s="13"/>
    </row>
    <row r="3924" spans="2:8" hidden="1" outlineLevel="1">
      <c r="B3924" s="76"/>
      <c r="C3924" t="str">
        <f>$E$5964</f>
        <v>Show</v>
      </c>
      <c r="D3924" s="23"/>
      <c r="E3924" s="12"/>
      <c r="F3924" s="70" t="s">
        <v>119</v>
      </c>
      <c r="G3924" s="12" t="s">
        <v>3410</v>
      </c>
    </row>
    <row r="3925" spans="2:8" hidden="1" outlineLevel="1">
      <c r="B3925" s="76"/>
      <c r="C3925" s="9" t="str">
        <f>C3924</f>
        <v>Show</v>
      </c>
      <c r="D3925" s="23"/>
      <c r="E3925" s="12"/>
      <c r="G3925" s="30" t="s">
        <v>121</v>
      </c>
      <c r="H3925" s="75" t="s">
        <v>2337</v>
      </c>
    </row>
    <row r="3926" spans="2:8" hidden="1" outlineLevel="1">
      <c r="B3926" s="76"/>
      <c r="C3926" t="str">
        <f>$E$5965</f>
        <v>Show</v>
      </c>
      <c r="D3926" s="23"/>
      <c r="E3926" s="12"/>
      <c r="F3926" s="70" t="str">
        <f>CHAR(65+(COUNTIF(C$3924:C3925,"Show")/2))&amp;"."</f>
        <v>B.</v>
      </c>
      <c r="G3926" s="12" t="s">
        <v>3414</v>
      </c>
    </row>
    <row r="3927" spans="2:8" hidden="1" outlineLevel="1">
      <c r="B3927" s="76"/>
      <c r="C3927" s="9" t="str">
        <f>C3926</f>
        <v>Show</v>
      </c>
      <c r="D3927" s="23"/>
      <c r="E3927" s="12"/>
      <c r="G3927" s="30" t="s">
        <v>121</v>
      </c>
      <c r="H3927" s="75" t="s">
        <v>2351</v>
      </c>
    </row>
    <row r="3928" spans="2:8" hidden="1" outlineLevel="1">
      <c r="B3928" s="76"/>
      <c r="C3928" t="str">
        <f>$E$5966</f>
        <v>Show</v>
      </c>
      <c r="D3928" s="23"/>
      <c r="E3928" s="12"/>
      <c r="F3928" s="70" t="str">
        <f>CHAR(65+(COUNTIF(C$3924:C3927,"Show")/2))&amp;"."</f>
        <v>C.</v>
      </c>
      <c r="G3928" s="12" t="s">
        <v>3449</v>
      </c>
    </row>
    <row r="3929" spans="2:8" hidden="1" outlineLevel="1">
      <c r="B3929" s="76"/>
      <c r="C3929" s="9" t="str">
        <f>C3928</f>
        <v>Show</v>
      </c>
      <c r="D3929" s="23"/>
      <c r="E3929" s="12"/>
      <c r="G3929" s="30" t="s">
        <v>121</v>
      </c>
      <c r="H3929" s="75" t="s">
        <v>2338</v>
      </c>
    </row>
    <row r="3930" spans="2:8" hidden="1" outlineLevel="1">
      <c r="B3930" s="76"/>
      <c r="C3930" t="str">
        <f>$E$5967</f>
        <v>Show</v>
      </c>
      <c r="D3930" s="23"/>
      <c r="E3930" s="12"/>
      <c r="F3930" s="70" t="str">
        <f>CHAR(65+(COUNTIF(C$3924:C3929,"Show")/2))&amp;"."</f>
        <v>D.</v>
      </c>
      <c r="G3930" s="12" t="s">
        <v>3493</v>
      </c>
    </row>
    <row r="3931" spans="2:8" hidden="1" outlineLevel="1">
      <c r="B3931" s="76"/>
      <c r="C3931" s="9" t="str">
        <f>C3930</f>
        <v>Show</v>
      </c>
      <c r="D3931" s="23"/>
      <c r="E3931" s="12"/>
      <c r="G3931" s="30" t="s">
        <v>121</v>
      </c>
      <c r="H3931" s="75" t="s">
        <v>2839</v>
      </c>
    </row>
    <row r="3932" spans="2:8" hidden="1" outlineLevel="1">
      <c r="B3932" s="76"/>
      <c r="C3932" s="9" t="str">
        <f>C3907</f>
        <v>Show</v>
      </c>
      <c r="D3932" s="23" t="s">
        <v>187</v>
      </c>
      <c r="E3932" s="13"/>
      <c r="G3932" s="13"/>
    </row>
    <row r="3933" spans="2:8" hidden="1" outlineLevel="1">
      <c r="B3933" s="76"/>
      <c r="C3933" s="9" t="str">
        <f>C3907</f>
        <v>Show</v>
      </c>
      <c r="D3933" s="23"/>
      <c r="E3933" s="12" t="str">
        <f>IF(COUNTIF(C3934:C3943,"Show")&gt;0,"3.1 Execution Requirements","No EGC Requirements")</f>
        <v>3.1 Execution Requirements</v>
      </c>
      <c r="G3933" s="13"/>
    </row>
    <row r="3934" spans="2:8" hidden="1" outlineLevel="1">
      <c r="B3934" s="76"/>
      <c r="C3934" t="str">
        <f>$F$5964</f>
        <v>Show</v>
      </c>
      <c r="D3934" s="23"/>
      <c r="E3934" s="13"/>
      <c r="F3934" s="70" t="s">
        <v>119</v>
      </c>
      <c r="G3934" s="12" t="s">
        <v>3410</v>
      </c>
    </row>
    <row r="3935" spans="2:8" ht="30" hidden="1" outlineLevel="1">
      <c r="B3935" s="76"/>
      <c r="C3935" s="9" t="str">
        <f>C3934</f>
        <v>Show</v>
      </c>
      <c r="D3935" s="23"/>
      <c r="E3935" s="13"/>
      <c r="G3935" s="78" t="s">
        <v>121</v>
      </c>
      <c r="H3935" s="75" t="s">
        <v>2339</v>
      </c>
    </row>
    <row r="3936" spans="2:8" hidden="1" outlineLevel="1">
      <c r="B3936" s="76"/>
      <c r="C3936" t="str">
        <f>$F$5965</f>
        <v>Show</v>
      </c>
      <c r="D3936" s="23"/>
      <c r="E3936" s="13"/>
      <c r="F3936" s="70" t="str">
        <f>CHAR(65+(COUNTIF(C$3934:C3935,"Show")/2))&amp;"."</f>
        <v>B.</v>
      </c>
      <c r="G3936" s="12" t="s">
        <v>3414</v>
      </c>
    </row>
    <row r="3937" spans="2:9" ht="30" hidden="1" outlineLevel="1">
      <c r="B3937" s="76"/>
      <c r="C3937" s="9" t="str">
        <f>C3936</f>
        <v>Show</v>
      </c>
      <c r="D3937" s="23"/>
      <c r="E3937" s="13"/>
      <c r="G3937" s="78" t="s">
        <v>121</v>
      </c>
      <c r="H3937" s="75" t="s">
        <v>2352</v>
      </c>
    </row>
    <row r="3938" spans="2:9" hidden="1" outlineLevel="1">
      <c r="B3938" s="76"/>
      <c r="C3938" t="str">
        <f>$F$5966</f>
        <v>Show</v>
      </c>
      <c r="D3938" s="23"/>
      <c r="E3938" s="13"/>
      <c r="F3938" s="70" t="str">
        <f>CHAR(65+(COUNTIF(C$3934:C3937,"Show")/2))&amp;"."</f>
        <v>C.</v>
      </c>
      <c r="G3938" s="12" t="s">
        <v>3449</v>
      </c>
    </row>
    <row r="3939" spans="2:9" hidden="1" outlineLevel="1">
      <c r="B3939" s="76"/>
      <c r="C3939" s="9" t="str">
        <f>C3938</f>
        <v>Show</v>
      </c>
      <c r="D3939" s="23"/>
      <c r="E3939" s="13"/>
      <c r="G3939" s="78" t="s">
        <v>121</v>
      </c>
      <c r="H3939" s="75" t="s">
        <v>2841</v>
      </c>
    </row>
    <row r="3940" spans="2:9" hidden="1" outlineLevel="1">
      <c r="B3940" s="76"/>
      <c r="C3940" t="str">
        <f>$F$5967</f>
        <v>Show</v>
      </c>
      <c r="D3940" s="23"/>
      <c r="E3940" s="13"/>
      <c r="F3940" s="70" t="str">
        <f>CHAR(65+(COUNTIF(C$3934:C3939,"Show")/2))&amp;"."</f>
        <v>D.</v>
      </c>
      <c r="G3940" s="12" t="s">
        <v>3493</v>
      </c>
    </row>
    <row r="3941" spans="2:9" ht="30" hidden="1" outlineLevel="1">
      <c r="B3941" s="76"/>
      <c r="C3941" s="9" t="str">
        <f>C3940</f>
        <v>Show</v>
      </c>
      <c r="D3941" s="23"/>
      <c r="E3941" s="13"/>
      <c r="G3941" s="78" t="s">
        <v>121</v>
      </c>
      <c r="H3941" s="75" t="s">
        <v>2840</v>
      </c>
    </row>
    <row r="3942" spans="2:9" hidden="1" outlineLevel="1">
      <c r="B3942" s="76"/>
      <c r="C3942" t="str">
        <f>$F$5993</f>
        <v>Show</v>
      </c>
      <c r="D3942" s="23"/>
      <c r="E3942" s="13"/>
      <c r="F3942" s="70" t="str">
        <f>CHAR(65+(COUNTIF(C$3934:C3941,"Show")/2))&amp;"."</f>
        <v>E.</v>
      </c>
      <c r="G3942" s="12" t="s">
        <v>3453</v>
      </c>
    </row>
    <row r="3943" spans="2:9" ht="30" hidden="1" outlineLevel="1">
      <c r="B3943" s="76"/>
      <c r="C3943" s="9" t="str">
        <f>C3942</f>
        <v>Show</v>
      </c>
      <c r="D3943" s="23"/>
      <c r="E3943" s="13"/>
      <c r="G3943" s="78" t="s">
        <v>121</v>
      </c>
      <c r="H3943" s="75" t="s">
        <v>2836</v>
      </c>
    </row>
    <row r="3944" spans="2:9" hidden="1" outlineLevel="1">
      <c r="B3944" s="76"/>
      <c r="C3944" s="9" t="str">
        <f>C3907</f>
        <v>Show</v>
      </c>
    </row>
    <row r="3945" spans="2:9" collapsed="1">
      <c r="B3945" s="23"/>
      <c r="C3945" s="2" t="str">
        <f>C3946</f>
        <v>Show</v>
      </c>
      <c r="D3945" s="55" t="s">
        <v>1692</v>
      </c>
      <c r="E3945" s="55"/>
      <c r="F3945" s="57" t="s">
        <v>1683</v>
      </c>
      <c r="G3945" s="53"/>
      <c r="H3945" s="54"/>
      <c r="I3945" s="75"/>
    </row>
    <row r="3946" spans="2:9" hidden="1" outlineLevel="1">
      <c r="B3946" s="76"/>
      <c r="C3946" s="2" t="str">
        <f>IF((COUNTIF(C3950:C3952,"Show")+COUNTIF(C3955:C3956,"Show")+COUNTIF(C3959:C3960,"Show"))&gt;0,"Show","Hide")</f>
        <v>Show</v>
      </c>
      <c r="D3946" s="23" t="s">
        <v>117</v>
      </c>
      <c r="E3946" s="13"/>
      <c r="G3946" s="13"/>
    </row>
    <row r="3947" spans="2:9" hidden="1" outlineLevel="1">
      <c r="B3947" s="76"/>
      <c r="C3947" s="9" t="str">
        <f>C3946</f>
        <v>Show</v>
      </c>
      <c r="D3947" s="23"/>
      <c r="E3947" s="13">
        <v>1.1000000000000001</v>
      </c>
      <c r="F3947" s="11" t="s">
        <v>118</v>
      </c>
      <c r="G3947" s="13"/>
    </row>
    <row r="3948" spans="2:9" hidden="1" outlineLevel="1">
      <c r="B3948" s="76"/>
      <c r="C3948" s="9" t="str">
        <f>C3947</f>
        <v>Show</v>
      </c>
      <c r="D3948" s="23"/>
      <c r="E3948" s="13"/>
      <c r="F3948" s="70" t="s">
        <v>119</v>
      </c>
      <c r="G3948" s="18" t="s">
        <v>677</v>
      </c>
    </row>
    <row r="3949" spans="2:9" hidden="1" outlineLevel="1">
      <c r="B3949" s="76"/>
      <c r="C3949" s="9" t="str">
        <f>C3948</f>
        <v>Show</v>
      </c>
      <c r="D3949" s="23"/>
      <c r="E3949" s="13"/>
      <c r="F3949" s="70"/>
      <c r="G3949" s="78" t="s">
        <v>121</v>
      </c>
      <c r="H3949" s="79" t="s">
        <v>2301</v>
      </c>
    </row>
    <row r="3950" spans="2:9" hidden="1" outlineLevel="1">
      <c r="B3950" s="76"/>
      <c r="C3950" s="9" t="str">
        <f>IF(COUNTIF(C3951:C3952,"Show")&gt;0,"Show","Hide")</f>
        <v>Show</v>
      </c>
      <c r="D3950" s="23"/>
      <c r="E3950" s="13">
        <v>1.2</v>
      </c>
      <c r="F3950" s="71" t="s">
        <v>131</v>
      </c>
      <c r="G3950" s="78"/>
    </row>
    <row r="3951" spans="2:9" hidden="1" outlineLevel="1">
      <c r="B3951" s="76"/>
      <c r="C3951" t="str">
        <f>$D$5996</f>
        <v>Show</v>
      </c>
      <c r="D3951" s="23"/>
      <c r="E3951" s="13"/>
      <c r="F3951" s="70" t="s">
        <v>119</v>
      </c>
      <c r="G3951" s="109" t="s">
        <v>3457</v>
      </c>
    </row>
    <row r="3952" spans="2:9" hidden="1" outlineLevel="1">
      <c r="B3952" s="76"/>
      <c r="C3952" s="9" t="str">
        <f>C3951</f>
        <v>Show</v>
      </c>
      <c r="D3952" s="23"/>
      <c r="E3952" s="13"/>
      <c r="F3952" s="70"/>
      <c r="G3952" s="78" t="s">
        <v>121</v>
      </c>
      <c r="H3952" s="75" t="s">
        <v>2804</v>
      </c>
    </row>
    <row r="3953" spans="2:9" hidden="1" outlineLevel="1">
      <c r="B3953" s="76"/>
      <c r="C3953" s="9" t="str">
        <f>C3946</f>
        <v>Show</v>
      </c>
      <c r="D3953" s="23" t="s">
        <v>613</v>
      </c>
      <c r="E3953" s="13"/>
      <c r="G3953" s="13"/>
    </row>
    <row r="3954" spans="2:9" hidden="1" outlineLevel="1">
      <c r="B3954" s="76"/>
      <c r="C3954" s="9" t="str">
        <f>C3946</f>
        <v>Show</v>
      </c>
      <c r="D3954" s="23"/>
      <c r="E3954" s="12" t="str">
        <f>IF(COUNTIF(C3955:C3956,"Show")&gt;0,"2.1 Product Requirements","No EGC Requirements")</f>
        <v>2.1 Product Requirements</v>
      </c>
      <c r="G3954" s="13"/>
    </row>
    <row r="3955" spans="2:9" hidden="1" outlineLevel="1">
      <c r="B3955" s="76"/>
      <c r="C3955" t="str">
        <f>$E$5996</f>
        <v>Show</v>
      </c>
      <c r="D3955" s="23"/>
      <c r="E3955" s="12"/>
      <c r="F3955" s="70" t="s">
        <v>119</v>
      </c>
      <c r="G3955" s="109" t="s">
        <v>3457</v>
      </c>
    </row>
    <row r="3956" spans="2:9" hidden="1" outlineLevel="1">
      <c r="B3956" s="76"/>
      <c r="C3956" s="9" t="str">
        <f>C3955</f>
        <v>Show</v>
      </c>
      <c r="D3956" s="23"/>
      <c r="E3956" s="12"/>
      <c r="G3956" s="78" t="s">
        <v>121</v>
      </c>
      <c r="H3956" s="75" t="s">
        <v>2803</v>
      </c>
    </row>
    <row r="3957" spans="2:9" hidden="1" outlineLevel="1">
      <c r="B3957" s="76"/>
      <c r="C3957" s="9" t="str">
        <f>C3946</f>
        <v>Show</v>
      </c>
      <c r="D3957" s="23" t="s">
        <v>187</v>
      </c>
      <c r="E3957" s="13"/>
      <c r="G3957" s="13"/>
    </row>
    <row r="3958" spans="2:9" hidden="1" outlineLevel="1">
      <c r="B3958" s="76"/>
      <c r="C3958" s="9" t="str">
        <f>C3946</f>
        <v>Show</v>
      </c>
      <c r="D3958" s="23"/>
      <c r="E3958" s="12" t="str">
        <f>IF(COUNTIF(C3959:C3960,"Show")&gt;0,"3.1 Execution Requirements","No EGC Requirements")</f>
        <v>3.1 Execution Requirements</v>
      </c>
      <c r="G3958" s="13"/>
    </row>
    <row r="3959" spans="2:9" hidden="1" outlineLevel="1">
      <c r="B3959" s="76"/>
      <c r="C3959" t="str">
        <f>$F$5996</f>
        <v>Show</v>
      </c>
      <c r="D3959" s="23"/>
      <c r="E3959" s="13"/>
      <c r="F3959" s="70" t="s">
        <v>119</v>
      </c>
      <c r="G3959" s="109" t="s">
        <v>3457</v>
      </c>
    </row>
    <row r="3960" spans="2:9" ht="30" hidden="1" outlineLevel="1">
      <c r="B3960" s="76"/>
      <c r="C3960" s="9" t="str">
        <f>C3959</f>
        <v>Show</v>
      </c>
      <c r="D3960" s="23"/>
      <c r="E3960" s="13"/>
      <c r="G3960" s="78" t="s">
        <v>121</v>
      </c>
      <c r="H3960" s="75" t="s">
        <v>2802</v>
      </c>
    </row>
    <row r="3961" spans="2:9" hidden="1" outlineLevel="1">
      <c r="B3961" s="76"/>
      <c r="C3961" s="9" t="str">
        <f>C3946</f>
        <v>Show</v>
      </c>
    </row>
    <row r="3962" spans="2:9" collapsed="1">
      <c r="B3962" s="76"/>
      <c r="C3962" s="7" t="s">
        <v>116</v>
      </c>
      <c r="D3962" s="80"/>
      <c r="E3962" s="132"/>
      <c r="F3962" s="12"/>
      <c r="G3962" s="69"/>
      <c r="I3962" s="75"/>
    </row>
    <row r="3963" spans="2:9">
      <c r="B3963" s="76"/>
      <c r="C3963" s="7" t="s">
        <v>116</v>
      </c>
      <c r="D3963" s="38" t="s">
        <v>556</v>
      </c>
      <c r="E3963" s="45"/>
      <c r="F3963" s="46"/>
      <c r="G3963" s="39"/>
      <c r="H3963" s="41"/>
      <c r="I3963" s="75"/>
    </row>
    <row r="3964" spans="2:9">
      <c r="B3964" s="23"/>
      <c r="C3964" s="2" t="str">
        <f>C3965</f>
        <v>Show</v>
      </c>
      <c r="D3964" s="55" t="s">
        <v>1694</v>
      </c>
      <c r="E3964" s="55"/>
      <c r="F3964" s="57" t="s">
        <v>1684</v>
      </c>
      <c r="G3964" s="53"/>
      <c r="H3964" s="54"/>
      <c r="I3964" s="75"/>
    </row>
    <row r="3965" spans="2:9" hidden="1" outlineLevel="1">
      <c r="B3965" s="76"/>
      <c r="C3965" s="2" t="str">
        <f>IF((COUNTIF(C3969:C3971,"Show")+COUNTIF(C3974:C3975,"Show")+COUNTIF(C3978:C3979,"Show"))&gt;0,"Show","Hide")</f>
        <v>Show</v>
      </c>
      <c r="D3965" s="23" t="s">
        <v>117</v>
      </c>
      <c r="E3965" s="13"/>
      <c r="G3965" s="13"/>
    </row>
    <row r="3966" spans="2:9" hidden="1" outlineLevel="1">
      <c r="B3966" s="76"/>
      <c r="C3966" s="9" t="str">
        <f>C3965</f>
        <v>Show</v>
      </c>
      <c r="D3966" s="23"/>
      <c r="E3966" s="13">
        <v>1.1000000000000001</v>
      </c>
      <c r="F3966" s="11" t="s">
        <v>118</v>
      </c>
      <c r="G3966" s="13"/>
    </row>
    <row r="3967" spans="2:9" hidden="1" outlineLevel="1">
      <c r="B3967" s="76"/>
      <c r="C3967" s="9" t="str">
        <f>C3966</f>
        <v>Show</v>
      </c>
      <c r="D3967" s="23"/>
      <c r="E3967" s="13"/>
      <c r="F3967" s="70" t="s">
        <v>119</v>
      </c>
      <c r="G3967" s="18" t="s">
        <v>677</v>
      </c>
    </row>
    <row r="3968" spans="2:9" hidden="1" outlineLevel="1">
      <c r="B3968" s="76"/>
      <c r="C3968" s="9" t="str">
        <f>C3967</f>
        <v>Show</v>
      </c>
      <c r="D3968" s="23"/>
      <c r="E3968" s="13"/>
      <c r="F3968" s="70"/>
      <c r="G3968" s="78" t="s">
        <v>121</v>
      </c>
      <c r="H3968" s="79" t="s">
        <v>2301</v>
      </c>
    </row>
    <row r="3969" spans="2:9" hidden="1" outlineLevel="1">
      <c r="B3969" s="76"/>
      <c r="C3969" s="9" t="str">
        <f>IF(COUNTIF(C3970:C3971,"Show")&gt;0,"Show","Hide")</f>
        <v>Show</v>
      </c>
      <c r="D3969" s="23"/>
      <c r="E3969" s="13">
        <v>1.2</v>
      </c>
      <c r="F3969" s="71" t="s">
        <v>131</v>
      </c>
      <c r="G3969" s="78"/>
    </row>
    <row r="3970" spans="2:9" hidden="1" outlineLevel="1">
      <c r="B3970" s="76"/>
      <c r="C3970" t="str">
        <f>$D$5995</f>
        <v>Show</v>
      </c>
      <c r="D3970" s="23"/>
      <c r="E3970" s="13"/>
      <c r="F3970" s="70" t="s">
        <v>119</v>
      </c>
      <c r="G3970" s="12" t="s">
        <v>3460</v>
      </c>
    </row>
    <row r="3971" spans="2:9" hidden="1" outlineLevel="1">
      <c r="B3971" s="76"/>
      <c r="C3971" s="9" t="str">
        <f>C3970</f>
        <v>Show</v>
      </c>
      <c r="D3971" s="23"/>
      <c r="E3971" s="13"/>
      <c r="F3971" s="70"/>
      <c r="G3971" s="78" t="s">
        <v>121</v>
      </c>
      <c r="H3971" s="75" t="s">
        <v>2811</v>
      </c>
    </row>
    <row r="3972" spans="2:9" hidden="1" outlineLevel="1">
      <c r="B3972" s="76"/>
      <c r="C3972" s="9" t="str">
        <f>C3965</f>
        <v>Show</v>
      </c>
      <c r="D3972" s="23" t="s">
        <v>613</v>
      </c>
      <c r="E3972" s="13"/>
      <c r="G3972" s="13"/>
    </row>
    <row r="3973" spans="2:9" hidden="1" outlineLevel="1">
      <c r="B3973" s="76"/>
      <c r="C3973" s="9" t="str">
        <f>C3965</f>
        <v>Show</v>
      </c>
      <c r="D3973" s="23"/>
      <c r="E3973" s="12" t="str">
        <f>IF(COUNTIF(C3974:C3975,"Show")&gt;0,"2.1 Product Requirements","No EGC Requirements")</f>
        <v>2.1 Product Requirements</v>
      </c>
      <c r="G3973" s="13"/>
    </row>
    <row r="3974" spans="2:9" hidden="1" outlineLevel="1">
      <c r="B3974" s="76"/>
      <c r="C3974" t="str">
        <f>$E$5995</f>
        <v>Show</v>
      </c>
      <c r="D3974" s="23"/>
      <c r="E3974" s="12"/>
      <c r="F3974" s="70" t="s">
        <v>119</v>
      </c>
      <c r="G3974" s="12" t="s">
        <v>3460</v>
      </c>
    </row>
    <row r="3975" spans="2:9" hidden="1" outlineLevel="1">
      <c r="B3975" s="76"/>
      <c r="C3975" s="9" t="str">
        <f>C3974</f>
        <v>Show</v>
      </c>
      <c r="D3975" s="23"/>
      <c r="E3975" s="12"/>
      <c r="G3975" s="30" t="s">
        <v>121</v>
      </c>
      <c r="H3975" s="75" t="s">
        <v>2812</v>
      </c>
    </row>
    <row r="3976" spans="2:9" hidden="1" outlineLevel="1">
      <c r="B3976" s="76"/>
      <c r="C3976" s="9" t="str">
        <f>C3965</f>
        <v>Show</v>
      </c>
      <c r="D3976" s="23" t="s">
        <v>187</v>
      </c>
      <c r="E3976" s="13"/>
      <c r="G3976" s="13"/>
    </row>
    <row r="3977" spans="2:9" hidden="1" outlineLevel="1">
      <c r="B3977" s="76"/>
      <c r="C3977" s="9" t="str">
        <f>C3965</f>
        <v>Show</v>
      </c>
      <c r="D3977" s="23"/>
      <c r="E3977" s="12" t="str">
        <f>IF(COUNTIF(C3978:C3979,"Show")&gt;0,"3.1 Execution Requirements","No EGC Requirements")</f>
        <v>3.1 Execution Requirements</v>
      </c>
      <c r="G3977" s="13"/>
    </row>
    <row r="3978" spans="2:9" hidden="1" outlineLevel="1">
      <c r="B3978" s="76"/>
      <c r="C3978" t="str">
        <f>$F$5995</f>
        <v>Show</v>
      </c>
      <c r="D3978" s="23"/>
      <c r="E3978" s="13"/>
      <c r="F3978" s="70" t="s">
        <v>119</v>
      </c>
      <c r="G3978" s="12" t="s">
        <v>3460</v>
      </c>
    </row>
    <row r="3979" spans="2:9" ht="30" hidden="1" outlineLevel="1">
      <c r="B3979" s="76"/>
      <c r="C3979" s="9" t="str">
        <f>C3978</f>
        <v>Show</v>
      </c>
      <c r="D3979" s="23"/>
      <c r="E3979" s="13"/>
      <c r="G3979" s="78" t="s">
        <v>121</v>
      </c>
      <c r="H3979" s="75" t="s">
        <v>2814</v>
      </c>
    </row>
    <row r="3980" spans="2:9" hidden="1" outlineLevel="1">
      <c r="B3980" s="76"/>
      <c r="C3980" s="9" t="str">
        <f>C3965</f>
        <v>Show</v>
      </c>
    </row>
    <row r="3981" spans="2:9" collapsed="1">
      <c r="B3981" s="23"/>
      <c r="C3981" s="2" t="str">
        <f>C3982</f>
        <v>Show</v>
      </c>
      <c r="D3981" s="55" t="s">
        <v>2015</v>
      </c>
      <c r="E3981" s="55"/>
      <c r="F3981" s="57" t="s">
        <v>2016</v>
      </c>
      <c r="G3981" s="53"/>
      <c r="H3981" s="54"/>
      <c r="I3981" s="75"/>
    </row>
    <row r="3982" spans="2:9" hidden="1" outlineLevel="1">
      <c r="B3982" s="76"/>
      <c r="C3982" s="2" t="str">
        <f>IF((COUNTIF(C3986:C3988,"Show")+COUNTIF(C3991:C3992,"Show")+COUNTIF(C3995:C3996,"Show"))&gt;0,"Show","Hide")</f>
        <v>Show</v>
      </c>
      <c r="D3982" s="23" t="s">
        <v>117</v>
      </c>
      <c r="E3982" s="13"/>
      <c r="G3982" s="13"/>
    </row>
    <row r="3983" spans="2:9" hidden="1" outlineLevel="1">
      <c r="B3983" s="76"/>
      <c r="C3983" s="9" t="str">
        <f>C3982</f>
        <v>Show</v>
      </c>
      <c r="D3983" s="23"/>
      <c r="E3983" s="13">
        <v>1.1000000000000001</v>
      </c>
      <c r="F3983" s="11" t="s">
        <v>118</v>
      </c>
      <c r="G3983" s="13"/>
    </row>
    <row r="3984" spans="2:9" hidden="1" outlineLevel="1">
      <c r="B3984" s="76"/>
      <c r="C3984" s="9" t="str">
        <f>C3983</f>
        <v>Show</v>
      </c>
      <c r="D3984" s="23"/>
      <c r="E3984" s="13"/>
      <c r="F3984" s="70" t="s">
        <v>119</v>
      </c>
      <c r="G3984" s="18" t="s">
        <v>677</v>
      </c>
    </row>
    <row r="3985" spans="2:9" hidden="1" outlineLevel="1">
      <c r="B3985" s="76"/>
      <c r="C3985" s="9" t="str">
        <f>C3984</f>
        <v>Show</v>
      </c>
      <c r="D3985" s="23"/>
      <c r="E3985" s="13"/>
      <c r="F3985" s="70"/>
      <c r="G3985" s="78" t="s">
        <v>121</v>
      </c>
      <c r="H3985" s="79" t="s">
        <v>2301</v>
      </c>
    </row>
    <row r="3986" spans="2:9" hidden="1" outlineLevel="1">
      <c r="B3986" s="76"/>
      <c r="C3986" s="9" t="str">
        <f>IF(COUNTIF(C3987:C3988,"Show")&gt;0,"Show","Hide")</f>
        <v>Show</v>
      </c>
      <c r="D3986" s="23"/>
      <c r="E3986" s="13">
        <v>1.2</v>
      </c>
      <c r="F3986" s="71" t="s">
        <v>131</v>
      </c>
      <c r="G3986" s="78"/>
    </row>
    <row r="3987" spans="2:9" hidden="1" outlineLevel="1">
      <c r="B3987" s="76"/>
      <c r="C3987" t="str">
        <f>$D$5994</f>
        <v>Show</v>
      </c>
      <c r="D3987" s="23"/>
      <c r="E3987" s="13"/>
      <c r="F3987" s="70" t="s">
        <v>119</v>
      </c>
      <c r="G3987" s="12" t="s">
        <v>3459</v>
      </c>
    </row>
    <row r="3988" spans="2:9" hidden="1" outlineLevel="1">
      <c r="B3988" s="76"/>
      <c r="C3988" s="9" t="str">
        <f>C3987</f>
        <v>Show</v>
      </c>
      <c r="D3988" s="23"/>
      <c r="E3988" s="13"/>
      <c r="F3988" s="70"/>
      <c r="G3988" s="78" t="s">
        <v>121</v>
      </c>
      <c r="H3988" s="75" t="s">
        <v>2810</v>
      </c>
    </row>
    <row r="3989" spans="2:9" hidden="1" outlineLevel="1">
      <c r="B3989" s="76"/>
      <c r="C3989" s="9" t="str">
        <f>C3982</f>
        <v>Show</v>
      </c>
      <c r="D3989" s="23" t="s">
        <v>613</v>
      </c>
      <c r="E3989" s="13"/>
      <c r="G3989" s="13"/>
    </row>
    <row r="3990" spans="2:9" hidden="1" outlineLevel="1">
      <c r="B3990" s="76"/>
      <c r="C3990" s="9" t="str">
        <f>C3982</f>
        <v>Show</v>
      </c>
      <c r="D3990" s="23"/>
      <c r="E3990" s="12" t="str">
        <f>IF(COUNTIF(C3991:C3992,"Show")&gt;0,"2.1 Product Requirements","No EGC Requirements")</f>
        <v>2.1 Product Requirements</v>
      </c>
      <c r="G3990" s="13"/>
    </row>
    <row r="3991" spans="2:9" hidden="1" outlineLevel="1">
      <c r="B3991" s="76"/>
      <c r="C3991" t="str">
        <f>$E$5994</f>
        <v>Show</v>
      </c>
      <c r="D3991" s="23"/>
      <c r="E3991" s="12"/>
      <c r="F3991" s="70" t="s">
        <v>119</v>
      </c>
      <c r="G3991" s="12" t="s">
        <v>3459</v>
      </c>
    </row>
    <row r="3992" spans="2:9" hidden="1" outlineLevel="1">
      <c r="B3992" s="76"/>
      <c r="C3992" s="9" t="str">
        <f>C3991</f>
        <v>Show</v>
      </c>
      <c r="D3992" s="23"/>
      <c r="E3992" s="12"/>
      <c r="G3992" s="30" t="s">
        <v>121</v>
      </c>
      <c r="H3992" s="75" t="s">
        <v>2809</v>
      </c>
    </row>
    <row r="3993" spans="2:9" hidden="1" outlineLevel="1">
      <c r="B3993" s="76"/>
      <c r="C3993" s="9" t="str">
        <f>C3982</f>
        <v>Show</v>
      </c>
      <c r="D3993" s="23" t="s">
        <v>187</v>
      </c>
      <c r="E3993" s="13"/>
      <c r="G3993" s="13"/>
    </row>
    <row r="3994" spans="2:9" hidden="1" outlineLevel="1">
      <c r="B3994" s="76"/>
      <c r="C3994" s="9" t="str">
        <f>C3982</f>
        <v>Show</v>
      </c>
      <c r="D3994" s="23"/>
      <c r="E3994" s="12" t="str">
        <f>IF(COUNTIF(C3995:C3996,"Show")&gt;0,"3.1 Execution Requirements","No EGC Requirements")</f>
        <v>3.1 Execution Requirements</v>
      </c>
      <c r="G3994" s="13"/>
    </row>
    <row r="3995" spans="2:9" hidden="1" outlineLevel="1">
      <c r="B3995" s="76"/>
      <c r="C3995" t="str">
        <f>$F$5994</f>
        <v>Show</v>
      </c>
      <c r="D3995" s="23"/>
      <c r="E3995" s="13"/>
      <c r="F3995" s="70" t="s">
        <v>119</v>
      </c>
      <c r="G3995" s="12" t="s">
        <v>3459</v>
      </c>
    </row>
    <row r="3996" spans="2:9" ht="30" hidden="1" outlineLevel="1">
      <c r="B3996" s="76"/>
      <c r="C3996" s="9" t="str">
        <f>C3995</f>
        <v>Show</v>
      </c>
      <c r="D3996" s="23"/>
      <c r="E3996" s="13"/>
      <c r="G3996" s="78" t="s">
        <v>121</v>
      </c>
      <c r="H3996" s="75" t="s">
        <v>2815</v>
      </c>
    </row>
    <row r="3997" spans="2:9" hidden="1" outlineLevel="1">
      <c r="B3997" s="76"/>
      <c r="C3997" s="9" t="str">
        <f>C3982</f>
        <v>Show</v>
      </c>
    </row>
    <row r="3998" spans="2:9" collapsed="1">
      <c r="B3998" s="23"/>
      <c r="C3998" s="2" t="str">
        <f>C3999</f>
        <v>Show</v>
      </c>
      <c r="D3998" s="55" t="s">
        <v>1695</v>
      </c>
      <c r="E3998" s="55"/>
      <c r="F3998" s="57" t="s">
        <v>1685</v>
      </c>
      <c r="G3998" s="53"/>
      <c r="H3998" s="54"/>
      <c r="I3998" s="75"/>
    </row>
    <row r="3999" spans="2:9" hidden="1" outlineLevel="1">
      <c r="B3999" s="76"/>
      <c r="C3999" s="2" t="str">
        <f>IF((COUNTIF(C4003:C4005,"Show")+COUNTIF(C4008:C4009,"Show")+COUNTIF(C4012:C4013,"Show"))&gt;0,"Show","Hide")</f>
        <v>Show</v>
      </c>
      <c r="D3999" s="23" t="s">
        <v>117</v>
      </c>
      <c r="E3999" s="13"/>
      <c r="G3999" s="13"/>
    </row>
    <row r="4000" spans="2:9" hidden="1" outlineLevel="1">
      <c r="B4000" s="76"/>
      <c r="C4000" s="9" t="str">
        <f>C3999</f>
        <v>Show</v>
      </c>
      <c r="D4000" s="23"/>
      <c r="E4000" s="13">
        <v>1.1000000000000001</v>
      </c>
      <c r="F4000" s="11" t="s">
        <v>118</v>
      </c>
      <c r="G4000" s="13"/>
    </row>
    <row r="4001" spans="2:9" hidden="1" outlineLevel="1">
      <c r="B4001" s="76"/>
      <c r="C4001" s="9" t="str">
        <f>C4000</f>
        <v>Show</v>
      </c>
      <c r="D4001" s="23"/>
      <c r="E4001" s="13"/>
      <c r="F4001" s="70" t="s">
        <v>119</v>
      </c>
      <c r="G4001" s="18" t="s">
        <v>677</v>
      </c>
    </row>
    <row r="4002" spans="2:9" hidden="1" outlineLevel="1">
      <c r="B4002" s="76"/>
      <c r="C4002" s="9" t="str">
        <f>C4001</f>
        <v>Show</v>
      </c>
      <c r="D4002" s="23"/>
      <c r="E4002" s="13"/>
      <c r="F4002" s="70"/>
      <c r="G4002" s="78" t="s">
        <v>121</v>
      </c>
      <c r="H4002" s="79" t="s">
        <v>2301</v>
      </c>
    </row>
    <row r="4003" spans="2:9" hidden="1" outlineLevel="1">
      <c r="B4003" s="76"/>
      <c r="C4003" s="9" t="str">
        <f>IF(COUNTIF(C4004:C4005,"Show")&gt;0,"Show","Hide")</f>
        <v>Show</v>
      </c>
      <c r="D4003" s="23"/>
      <c r="E4003" s="13">
        <v>1.2</v>
      </c>
      <c r="F4003" s="71" t="s">
        <v>131</v>
      </c>
      <c r="G4003" s="78"/>
    </row>
    <row r="4004" spans="2:9" hidden="1" outlineLevel="1">
      <c r="B4004" s="76"/>
      <c r="C4004" t="str">
        <f>$D$5972</f>
        <v>Show</v>
      </c>
      <c r="D4004" s="23"/>
      <c r="E4004" s="13"/>
      <c r="F4004" s="70" t="s">
        <v>119</v>
      </c>
      <c r="G4004" s="12" t="s">
        <v>3462</v>
      </c>
    </row>
    <row r="4005" spans="2:9" hidden="1" outlineLevel="1">
      <c r="B4005" s="76"/>
      <c r="C4005" s="9" t="str">
        <f>C4004</f>
        <v>Show</v>
      </c>
      <c r="D4005" s="23"/>
      <c r="E4005" s="13"/>
      <c r="F4005" s="70"/>
      <c r="G4005" s="78" t="s">
        <v>121</v>
      </c>
      <c r="H4005" s="75" t="s">
        <v>2830</v>
      </c>
    </row>
    <row r="4006" spans="2:9" hidden="1" outlineLevel="1">
      <c r="B4006" s="76"/>
      <c r="C4006" s="9" t="str">
        <f>C3999</f>
        <v>Show</v>
      </c>
      <c r="D4006" s="23" t="s">
        <v>613</v>
      </c>
      <c r="E4006" s="13"/>
      <c r="G4006" s="13"/>
    </row>
    <row r="4007" spans="2:9" hidden="1" outlineLevel="1">
      <c r="B4007" s="76"/>
      <c r="C4007" s="9" t="str">
        <f>C3999</f>
        <v>Show</v>
      </c>
      <c r="D4007" s="23"/>
      <c r="E4007" s="12" t="str">
        <f>IF(COUNTIF(C4008:C4009,"Show")&gt;0,"2.1 Product Requirements","No EGC Requirements")</f>
        <v>2.1 Product Requirements</v>
      </c>
      <c r="G4007" s="13"/>
    </row>
    <row r="4008" spans="2:9" hidden="1" outlineLevel="1">
      <c r="B4008" s="76"/>
      <c r="C4008" t="str">
        <f>$E$5972</f>
        <v>Show</v>
      </c>
      <c r="D4008" s="23"/>
      <c r="E4008" s="12"/>
      <c r="F4008" s="70" t="s">
        <v>119</v>
      </c>
      <c r="G4008" s="12" t="s">
        <v>3462</v>
      </c>
    </row>
    <row r="4009" spans="2:9" hidden="1" outlineLevel="1">
      <c r="B4009" s="76"/>
      <c r="C4009" s="9" t="str">
        <f>C4008</f>
        <v>Show</v>
      </c>
      <c r="D4009" s="23"/>
      <c r="E4009" s="12"/>
      <c r="G4009" s="30" t="s">
        <v>121</v>
      </c>
      <c r="H4009" s="75" t="s">
        <v>2831</v>
      </c>
    </row>
    <row r="4010" spans="2:9" hidden="1" outlineLevel="1">
      <c r="B4010" s="76"/>
      <c r="C4010" s="9" t="str">
        <f>C3999</f>
        <v>Show</v>
      </c>
      <c r="D4010" s="23" t="s">
        <v>187</v>
      </c>
      <c r="E4010" s="13"/>
      <c r="G4010" s="13"/>
    </row>
    <row r="4011" spans="2:9" hidden="1" outlineLevel="1">
      <c r="B4011" s="76"/>
      <c r="C4011" s="9" t="str">
        <f>C3999</f>
        <v>Show</v>
      </c>
      <c r="D4011" s="23"/>
      <c r="E4011" s="12" t="str">
        <f>IF(COUNTIF(C4012:C4013,"Show")&gt;0,"3.1 Execution Requirements","No EGC Requirements")</f>
        <v>3.1 Execution Requirements</v>
      </c>
      <c r="G4011" s="13"/>
    </row>
    <row r="4012" spans="2:9" hidden="1" outlineLevel="1">
      <c r="B4012" s="76"/>
      <c r="C4012" t="str">
        <f>$F$5972</f>
        <v>Show</v>
      </c>
      <c r="D4012" s="23"/>
      <c r="E4012" s="13"/>
      <c r="F4012" s="70" t="s">
        <v>119</v>
      </c>
      <c r="G4012" s="12" t="s">
        <v>3462</v>
      </c>
    </row>
    <row r="4013" spans="2:9" hidden="1" outlineLevel="1">
      <c r="B4013" s="76"/>
      <c r="C4013" s="9" t="str">
        <f>C4012</f>
        <v>Show</v>
      </c>
      <c r="D4013" s="23"/>
      <c r="E4013" s="13"/>
      <c r="G4013" s="78" t="s">
        <v>121</v>
      </c>
      <c r="H4013" s="75" t="s">
        <v>2832</v>
      </c>
    </row>
    <row r="4014" spans="2:9" hidden="1" outlineLevel="1">
      <c r="B4014" s="76"/>
      <c r="C4014" s="9" t="str">
        <f>C3999</f>
        <v>Show</v>
      </c>
    </row>
    <row r="4015" spans="2:9" collapsed="1">
      <c r="B4015" s="23"/>
      <c r="C4015" s="2" t="str">
        <f>C4016</f>
        <v>Show</v>
      </c>
      <c r="D4015" s="55" t="s">
        <v>302</v>
      </c>
      <c r="E4015" s="55"/>
      <c r="F4015" s="57" t="s">
        <v>303</v>
      </c>
      <c r="G4015" s="53"/>
      <c r="H4015" s="54"/>
      <c r="I4015" s="75"/>
    </row>
    <row r="4016" spans="2:9" hidden="1" outlineLevel="1">
      <c r="B4016" s="76"/>
      <c r="C4016" s="2" t="str">
        <f>IF((COUNTIF(C4020:C4024,"Show")+COUNTIF(C4027:C4028,"Show")+COUNTIF(C4031:C4034,"Show"))&gt;0,"Show","Hide")</f>
        <v>Show</v>
      </c>
      <c r="D4016" s="23" t="s">
        <v>117</v>
      </c>
      <c r="E4016" s="13"/>
      <c r="G4016" s="13"/>
    </row>
    <row r="4017" spans="2:8" hidden="1" outlineLevel="1">
      <c r="B4017" s="76"/>
      <c r="C4017" s="9" t="str">
        <f>C4016</f>
        <v>Show</v>
      </c>
      <c r="D4017" s="23"/>
      <c r="E4017" s="13">
        <v>1.1000000000000001</v>
      </c>
      <c r="F4017" s="11" t="s">
        <v>118</v>
      </c>
      <c r="G4017" s="13"/>
    </row>
    <row r="4018" spans="2:8" hidden="1" outlineLevel="1">
      <c r="B4018" s="76"/>
      <c r="C4018" s="9" t="str">
        <f>C4017</f>
        <v>Show</v>
      </c>
      <c r="D4018" s="23"/>
      <c r="E4018" s="13"/>
      <c r="F4018" s="70" t="s">
        <v>119</v>
      </c>
      <c r="G4018" s="18" t="s">
        <v>677</v>
      </c>
    </row>
    <row r="4019" spans="2:8" hidden="1" outlineLevel="1">
      <c r="B4019" s="76"/>
      <c r="C4019" s="9" t="str">
        <f>C4018</f>
        <v>Show</v>
      </c>
      <c r="D4019" s="23"/>
      <c r="E4019" s="13"/>
      <c r="F4019" s="70"/>
      <c r="G4019" s="78" t="s">
        <v>121</v>
      </c>
      <c r="H4019" s="79" t="s">
        <v>2301</v>
      </c>
    </row>
    <row r="4020" spans="2:8" hidden="1" outlineLevel="1">
      <c r="B4020" s="76"/>
      <c r="C4020" s="9" t="str">
        <f>IF(COUNTIF(C4021:C4024,"Show")&gt;0,"Show","Hide")</f>
        <v>Show</v>
      </c>
      <c r="D4020" s="23"/>
      <c r="E4020" s="13">
        <v>1.2</v>
      </c>
      <c r="F4020" s="71" t="s">
        <v>131</v>
      </c>
      <c r="G4020" s="78"/>
    </row>
    <row r="4021" spans="2:8" hidden="1" outlineLevel="1">
      <c r="B4021" s="76"/>
      <c r="C4021" t="str">
        <f>$D$5976</f>
        <v>Show</v>
      </c>
      <c r="D4021" s="23"/>
      <c r="E4021" s="13"/>
      <c r="F4021" s="70" t="s">
        <v>119</v>
      </c>
      <c r="G4021" s="12" t="s">
        <v>3450</v>
      </c>
    </row>
    <row r="4022" spans="2:8" hidden="1" outlineLevel="1">
      <c r="B4022" s="76"/>
      <c r="C4022" s="9" t="str">
        <f>C4021</f>
        <v>Show</v>
      </c>
      <c r="D4022" s="23"/>
      <c r="E4022" s="13"/>
      <c r="F4022" s="70"/>
      <c r="G4022" s="78" t="s">
        <v>121</v>
      </c>
      <c r="H4022" s="75" t="s">
        <v>2529</v>
      </c>
    </row>
    <row r="4023" spans="2:8" hidden="1" outlineLevel="1">
      <c r="B4023" s="76"/>
      <c r="C4023" t="str">
        <f>$D$5993</f>
        <v>Show</v>
      </c>
      <c r="D4023" s="23"/>
      <c r="E4023" s="13"/>
      <c r="F4023" s="70" t="str">
        <f>CHAR(65+(COUNTIF(C$4021:C4022,"Show")/2))&amp;"."</f>
        <v>B.</v>
      </c>
      <c r="G4023" s="12" t="s">
        <v>3453</v>
      </c>
    </row>
    <row r="4024" spans="2:8" ht="30" hidden="1" outlineLevel="1">
      <c r="B4024" s="76"/>
      <c r="C4024" s="9" t="str">
        <f>C4023</f>
        <v>Show</v>
      </c>
      <c r="D4024" s="23"/>
      <c r="E4024" s="13"/>
      <c r="F4024" s="70"/>
      <c r="G4024" s="78" t="s">
        <v>121</v>
      </c>
      <c r="H4024" s="75" t="s">
        <v>2837</v>
      </c>
    </row>
    <row r="4025" spans="2:8" hidden="1" outlineLevel="1">
      <c r="B4025" s="76"/>
      <c r="C4025" s="9" t="str">
        <f>C4016</f>
        <v>Show</v>
      </c>
      <c r="D4025" s="23" t="s">
        <v>613</v>
      </c>
      <c r="E4025" s="13"/>
      <c r="G4025" s="13"/>
    </row>
    <row r="4026" spans="2:8" hidden="1" outlineLevel="1">
      <c r="B4026" s="76"/>
      <c r="C4026" s="9" t="str">
        <f>C4016</f>
        <v>Show</v>
      </c>
      <c r="D4026" s="23"/>
      <c r="E4026" s="12" t="str">
        <f>IF(COUNTIF(C4027:C4028,"Show")&gt;0,"2.1 Product Requirements","No EGC Requirements")</f>
        <v>2.1 Product Requirements</v>
      </c>
      <c r="G4026" s="13"/>
    </row>
    <row r="4027" spans="2:8" hidden="1" outlineLevel="1">
      <c r="B4027" s="76"/>
      <c r="C4027" t="str">
        <f>$E$5976</f>
        <v>Show</v>
      </c>
      <c r="D4027" s="23"/>
      <c r="E4027" s="12"/>
      <c r="F4027" s="70" t="s">
        <v>119</v>
      </c>
      <c r="G4027" s="12" t="s">
        <v>3450</v>
      </c>
    </row>
    <row r="4028" spans="2:8" hidden="1" outlineLevel="1">
      <c r="B4028" s="76"/>
      <c r="C4028" s="9" t="str">
        <f>C4027</f>
        <v>Show</v>
      </c>
      <c r="D4028" s="23"/>
      <c r="E4028" s="12"/>
      <c r="G4028" s="30" t="s">
        <v>121</v>
      </c>
      <c r="H4028" s="75" t="s">
        <v>2530</v>
      </c>
    </row>
    <row r="4029" spans="2:8" hidden="1" outlineLevel="1">
      <c r="B4029" s="76"/>
      <c r="C4029" s="9" t="str">
        <f>C4016</f>
        <v>Show</v>
      </c>
      <c r="D4029" s="23" t="s">
        <v>187</v>
      </c>
      <c r="E4029" s="13"/>
      <c r="G4029" s="13"/>
    </row>
    <row r="4030" spans="2:8" hidden="1" outlineLevel="1">
      <c r="B4030" s="76"/>
      <c r="C4030" s="9" t="str">
        <f>C4016</f>
        <v>Show</v>
      </c>
      <c r="D4030" s="23"/>
      <c r="E4030" s="12" t="str">
        <f>IF(COUNTIF(C4031:C4034,"Show")&gt;0,"3.1 Execution Requirements","No EGC Requirements")</f>
        <v>3.1 Execution Requirements</v>
      </c>
      <c r="G4030" s="13"/>
    </row>
    <row r="4031" spans="2:8" hidden="1" outlineLevel="1">
      <c r="B4031" s="76"/>
      <c r="C4031" t="str">
        <f>$F$5976</f>
        <v>Show</v>
      </c>
      <c r="D4031" s="23"/>
      <c r="E4031" s="13"/>
      <c r="F4031" s="70" t="s">
        <v>119</v>
      </c>
      <c r="G4031" s="12" t="s">
        <v>3450</v>
      </c>
    </row>
    <row r="4032" spans="2:8" hidden="1" outlineLevel="1">
      <c r="B4032" s="76"/>
      <c r="C4032" s="9" t="str">
        <f>C4031</f>
        <v>Show</v>
      </c>
      <c r="D4032" s="23"/>
      <c r="E4032" s="13"/>
      <c r="G4032" s="78" t="s">
        <v>121</v>
      </c>
      <c r="H4032" s="75" t="s">
        <v>2766</v>
      </c>
    </row>
    <row r="4033" spans="2:9" hidden="1" outlineLevel="1">
      <c r="B4033" s="76"/>
      <c r="C4033" t="str">
        <f>$F$5993</f>
        <v>Show</v>
      </c>
      <c r="D4033" s="23"/>
      <c r="E4033" s="13"/>
      <c r="F4033" s="70" t="str">
        <f>CHAR(65+(COUNTIF(C$4031:C4032,"Show")/2))&amp;"."</f>
        <v>B.</v>
      </c>
      <c r="G4033" s="12" t="s">
        <v>3453</v>
      </c>
    </row>
    <row r="4034" spans="2:9" ht="30" hidden="1" outlineLevel="1">
      <c r="B4034" s="76"/>
      <c r="C4034" s="9" t="str">
        <f>C4033</f>
        <v>Show</v>
      </c>
      <c r="D4034" s="23"/>
      <c r="E4034" s="13"/>
      <c r="G4034" s="78" t="s">
        <v>121</v>
      </c>
      <c r="H4034" s="75" t="s">
        <v>2836</v>
      </c>
    </row>
    <row r="4035" spans="2:9" hidden="1" outlineLevel="1">
      <c r="B4035" s="76"/>
      <c r="C4035" s="9" t="str">
        <f>C4016</f>
        <v>Show</v>
      </c>
    </row>
    <row r="4036" spans="2:9" collapsed="1">
      <c r="B4036" s="23"/>
      <c r="C4036" s="2" t="str">
        <f>C4037</f>
        <v>Show</v>
      </c>
      <c r="D4036" s="55" t="s">
        <v>1696</v>
      </c>
      <c r="E4036" s="55"/>
      <c r="F4036" s="57" t="s">
        <v>1686</v>
      </c>
      <c r="G4036" s="53"/>
      <c r="H4036" s="54"/>
      <c r="I4036" s="75"/>
    </row>
    <row r="4037" spans="2:9" hidden="1" outlineLevel="1">
      <c r="B4037" s="76"/>
      <c r="C4037" s="2" t="str">
        <f>IF((COUNTIF(C4041:C4043,"Show")+COUNTIF(C4046:C4047,"Show")+COUNTIF(C4050:C4051,"Show"))&gt;0,"Show","Hide")</f>
        <v>Show</v>
      </c>
      <c r="D4037" s="23" t="s">
        <v>117</v>
      </c>
      <c r="E4037" s="13"/>
      <c r="G4037" s="13"/>
    </row>
    <row r="4038" spans="2:9" hidden="1" outlineLevel="1">
      <c r="B4038" s="76"/>
      <c r="C4038" s="9" t="str">
        <f>C4037</f>
        <v>Show</v>
      </c>
      <c r="D4038" s="23"/>
      <c r="E4038" s="13">
        <v>1.1000000000000001</v>
      </c>
      <c r="F4038" s="11" t="s">
        <v>118</v>
      </c>
      <c r="G4038" s="13"/>
    </row>
    <row r="4039" spans="2:9" hidden="1" outlineLevel="1">
      <c r="B4039" s="76"/>
      <c r="C4039" s="9" t="str">
        <f>C4038</f>
        <v>Show</v>
      </c>
      <c r="D4039" s="23"/>
      <c r="E4039" s="13"/>
      <c r="F4039" s="70" t="s">
        <v>119</v>
      </c>
      <c r="G4039" s="18" t="s">
        <v>677</v>
      </c>
    </row>
    <row r="4040" spans="2:9" hidden="1" outlineLevel="1">
      <c r="B4040" s="76"/>
      <c r="C4040" s="9" t="str">
        <f>C4039</f>
        <v>Show</v>
      </c>
      <c r="D4040" s="23"/>
      <c r="E4040" s="13"/>
      <c r="F4040" s="70"/>
      <c r="G4040" s="78" t="s">
        <v>121</v>
      </c>
      <c r="H4040" s="79" t="s">
        <v>2301</v>
      </c>
    </row>
    <row r="4041" spans="2:9" hidden="1" outlineLevel="1">
      <c r="B4041" s="76"/>
      <c r="C4041" s="9" t="str">
        <f>IF(COUNTIF(C4042:C4043,"Show")&gt;0,"Show","Hide")</f>
        <v>Show</v>
      </c>
      <c r="D4041" s="23"/>
      <c r="E4041" s="13">
        <v>1.2</v>
      </c>
      <c r="F4041" s="71" t="s">
        <v>131</v>
      </c>
      <c r="G4041" s="78"/>
    </row>
    <row r="4042" spans="2:9" hidden="1" outlineLevel="1">
      <c r="B4042" s="76"/>
      <c r="C4042" t="str">
        <f>$D$5988</f>
        <v>Show</v>
      </c>
      <c r="D4042" s="23"/>
      <c r="E4042" s="13"/>
      <c r="F4042" s="70" t="s">
        <v>119</v>
      </c>
      <c r="G4042" s="109" t="s">
        <v>3458</v>
      </c>
    </row>
    <row r="4043" spans="2:9" hidden="1" outlineLevel="1">
      <c r="B4043" s="76"/>
      <c r="C4043" s="9" t="str">
        <f>C4042</f>
        <v>Show</v>
      </c>
      <c r="D4043" s="23"/>
      <c r="E4043" s="13"/>
      <c r="F4043" s="70"/>
      <c r="G4043" s="78" t="s">
        <v>121</v>
      </c>
      <c r="H4043" s="75" t="s">
        <v>2806</v>
      </c>
    </row>
    <row r="4044" spans="2:9" hidden="1" outlineLevel="1">
      <c r="B4044" s="76"/>
      <c r="C4044" s="9" t="str">
        <f>C4037</f>
        <v>Show</v>
      </c>
      <c r="D4044" s="23" t="s">
        <v>613</v>
      </c>
      <c r="E4044" s="13"/>
      <c r="G4044" s="13"/>
    </row>
    <row r="4045" spans="2:9" hidden="1" outlineLevel="1">
      <c r="B4045" s="76"/>
      <c r="C4045" s="9" t="str">
        <f>C4037</f>
        <v>Show</v>
      </c>
      <c r="D4045" s="23"/>
      <c r="E4045" s="12" t="str">
        <f>IF(COUNTIF(C4046:C4047,"Show")&gt;0,"2.1 Product Requirements","No EGC Requirements")</f>
        <v>2.1 Product Requirements</v>
      </c>
      <c r="G4045" s="13"/>
    </row>
    <row r="4046" spans="2:9" hidden="1" outlineLevel="1">
      <c r="B4046" s="76"/>
      <c r="C4046" t="str">
        <f>$E$5988</f>
        <v>Show</v>
      </c>
      <c r="D4046" s="23"/>
      <c r="E4046" s="12"/>
      <c r="F4046" s="70" t="s">
        <v>119</v>
      </c>
      <c r="G4046" s="109" t="s">
        <v>3458</v>
      </c>
    </row>
    <row r="4047" spans="2:9" hidden="1" outlineLevel="1">
      <c r="B4047" s="76"/>
      <c r="C4047" s="9" t="str">
        <f>C4046</f>
        <v>Show</v>
      </c>
      <c r="D4047" s="23"/>
      <c r="E4047" s="12"/>
      <c r="G4047" s="30" t="s">
        <v>121</v>
      </c>
      <c r="H4047" s="75" t="s">
        <v>2807</v>
      </c>
    </row>
    <row r="4048" spans="2:9" hidden="1" outlineLevel="1">
      <c r="B4048" s="76"/>
      <c r="C4048" s="9" t="str">
        <f>C4037</f>
        <v>Show</v>
      </c>
      <c r="D4048" s="23" t="s">
        <v>187</v>
      </c>
      <c r="E4048" s="13"/>
      <c r="G4048" s="13"/>
    </row>
    <row r="4049" spans="2:9" hidden="1" outlineLevel="1">
      <c r="B4049" s="76"/>
      <c r="C4049" s="9" t="str">
        <f>C4037</f>
        <v>Show</v>
      </c>
      <c r="D4049" s="23"/>
      <c r="E4049" s="12" t="str">
        <f>IF(COUNTIF(C4050:C4051,"Show")&gt;0,"3.1 Execution Requirements","No EGC Requirements")</f>
        <v>3.1 Execution Requirements</v>
      </c>
      <c r="G4049" s="13"/>
    </row>
    <row r="4050" spans="2:9" hidden="1" outlineLevel="1">
      <c r="B4050" s="76"/>
      <c r="C4050" t="str">
        <f>$F$5988</f>
        <v>Show</v>
      </c>
      <c r="D4050" s="23"/>
      <c r="E4050" s="13"/>
      <c r="F4050" s="70" t="s">
        <v>119</v>
      </c>
      <c r="G4050" s="109" t="s">
        <v>3458</v>
      </c>
    </row>
    <row r="4051" spans="2:9" ht="30" hidden="1" outlineLevel="1">
      <c r="B4051" s="76"/>
      <c r="C4051" s="9" t="str">
        <f>C4050</f>
        <v>Show</v>
      </c>
      <c r="D4051" s="23"/>
      <c r="E4051" s="13"/>
      <c r="G4051" s="78" t="s">
        <v>121</v>
      </c>
      <c r="H4051" s="75" t="s">
        <v>2813</v>
      </c>
    </row>
    <row r="4052" spans="2:9" hidden="1" outlineLevel="1">
      <c r="B4052" s="76"/>
      <c r="C4052" s="9" t="str">
        <f>C4037</f>
        <v>Show</v>
      </c>
    </row>
    <row r="4053" spans="2:9" collapsed="1">
      <c r="B4053" s="23"/>
      <c r="C4053" s="2" t="str">
        <f>C4054</f>
        <v>Show</v>
      </c>
      <c r="D4053" s="55" t="s">
        <v>1697</v>
      </c>
      <c r="E4053" s="55"/>
      <c r="F4053" s="57" t="s">
        <v>1687</v>
      </c>
      <c r="G4053" s="53"/>
      <c r="H4053" s="54"/>
      <c r="I4053" s="75"/>
    </row>
    <row r="4054" spans="2:9" hidden="1" outlineLevel="1">
      <c r="B4054" s="76"/>
      <c r="C4054" s="2" t="str">
        <f>IF((COUNTIF(C4058:C4062,"Show")+COUNTIF(C4067:C4070,"Show"))&gt;0,"Show","Hide")</f>
        <v>Show</v>
      </c>
      <c r="D4054" s="23" t="s">
        <v>117</v>
      </c>
      <c r="E4054" s="13"/>
      <c r="G4054" s="13"/>
    </row>
    <row r="4055" spans="2:9" hidden="1" outlineLevel="1">
      <c r="B4055" s="76"/>
      <c r="C4055" s="9" t="str">
        <f>C4054</f>
        <v>Show</v>
      </c>
      <c r="D4055" s="23"/>
      <c r="E4055" s="13">
        <v>1.1000000000000001</v>
      </c>
      <c r="F4055" s="11" t="s">
        <v>118</v>
      </c>
      <c r="G4055" s="13"/>
    </row>
    <row r="4056" spans="2:9" hidden="1" outlineLevel="1">
      <c r="B4056" s="76"/>
      <c r="C4056" s="9" t="str">
        <f>C4055</f>
        <v>Show</v>
      </c>
      <c r="D4056" s="23"/>
      <c r="E4056" s="13"/>
      <c r="F4056" s="70" t="s">
        <v>119</v>
      </c>
      <c r="G4056" s="18" t="s">
        <v>677</v>
      </c>
    </row>
    <row r="4057" spans="2:9" hidden="1" outlineLevel="1">
      <c r="B4057" s="76"/>
      <c r="C4057" s="9" t="str">
        <f>C4056</f>
        <v>Show</v>
      </c>
      <c r="D4057" s="23"/>
      <c r="E4057" s="13"/>
      <c r="F4057" s="70"/>
      <c r="G4057" s="78" t="s">
        <v>121</v>
      </c>
      <c r="H4057" s="79" t="s">
        <v>2301</v>
      </c>
    </row>
    <row r="4058" spans="2:9" hidden="1" outlineLevel="1">
      <c r="B4058" s="76"/>
      <c r="C4058" s="9" t="str">
        <f>IF(COUNTIF(C4059:C4062,"Show")&gt;0,"Show","Hide")</f>
        <v>Show</v>
      </c>
      <c r="D4058" s="23"/>
      <c r="E4058" s="13">
        <v>1.2</v>
      </c>
      <c r="F4058" s="71" t="s">
        <v>131</v>
      </c>
      <c r="G4058" s="78"/>
    </row>
    <row r="4059" spans="2:9" hidden="1" outlineLevel="1">
      <c r="B4059" s="76"/>
      <c r="C4059" t="str">
        <f>$D$5977</f>
        <v>Show</v>
      </c>
      <c r="D4059" s="23"/>
      <c r="E4059" s="13"/>
      <c r="F4059" s="70" t="s">
        <v>119</v>
      </c>
      <c r="G4059" s="12" t="s">
        <v>3464</v>
      </c>
    </row>
    <row r="4060" spans="2:9" hidden="1" outlineLevel="1">
      <c r="B4060" s="76"/>
      <c r="C4060" s="9" t="str">
        <f>C4059</f>
        <v>Show</v>
      </c>
      <c r="D4060" s="23"/>
      <c r="E4060" s="13"/>
      <c r="F4060" s="70"/>
      <c r="G4060" s="78" t="s">
        <v>121</v>
      </c>
      <c r="H4060" s="75" t="s">
        <v>2842</v>
      </c>
    </row>
    <row r="4061" spans="2:9" hidden="1" outlineLevel="1">
      <c r="B4061" s="76"/>
      <c r="C4061" t="str">
        <f>$D$5993</f>
        <v>Show</v>
      </c>
      <c r="D4061" s="23"/>
      <c r="E4061" s="13"/>
      <c r="F4061" s="70" t="str">
        <f>CHAR(65+(COUNTIF(C$4059:C4060,"Show")/2))&amp;"."</f>
        <v>B.</v>
      </c>
      <c r="G4061" s="12" t="s">
        <v>3453</v>
      </c>
    </row>
    <row r="4062" spans="2:9" ht="30" hidden="1" outlineLevel="1">
      <c r="B4062" s="76"/>
      <c r="C4062" s="9" t="str">
        <f>C4061</f>
        <v>Show</v>
      </c>
      <c r="D4062" s="23"/>
      <c r="E4062" s="13"/>
      <c r="F4062" s="70"/>
      <c r="G4062" s="78" t="s">
        <v>121</v>
      </c>
      <c r="H4062" s="75" t="s">
        <v>2837</v>
      </c>
    </row>
    <row r="4063" spans="2:9" hidden="1" outlineLevel="1">
      <c r="B4063" s="76"/>
      <c r="C4063" s="9" t="str">
        <f>C4054</f>
        <v>Show</v>
      </c>
      <c r="D4063" s="23" t="s">
        <v>613</v>
      </c>
      <c r="E4063" s="13"/>
      <c r="G4063" s="13"/>
    </row>
    <row r="4064" spans="2:9" hidden="1" outlineLevel="1">
      <c r="B4064" s="76"/>
      <c r="C4064" s="9" t="str">
        <f>C4054</f>
        <v>Show</v>
      </c>
      <c r="D4064" s="23"/>
      <c r="E4064" s="12" t="s">
        <v>2703</v>
      </c>
      <c r="G4064" s="13"/>
    </row>
    <row r="4065" spans="2:9" hidden="1" outlineLevel="1">
      <c r="B4065" s="76"/>
      <c r="C4065" s="9" t="str">
        <f>C4054</f>
        <v>Show</v>
      </c>
      <c r="D4065" s="23" t="s">
        <v>187</v>
      </c>
      <c r="E4065" s="13"/>
      <c r="G4065" s="13"/>
    </row>
    <row r="4066" spans="2:9" hidden="1" outlineLevel="1">
      <c r="B4066" s="76"/>
      <c r="C4066" s="9" t="str">
        <f>C4054</f>
        <v>Show</v>
      </c>
      <c r="D4066" s="23"/>
      <c r="E4066" s="12" t="str">
        <f>IF(COUNTIF(C4067:C4070,"Show")&gt;0,"3.1 Execution Requirements","No EGC Requirements")</f>
        <v>3.1 Execution Requirements</v>
      </c>
      <c r="G4066" s="13"/>
    </row>
    <row r="4067" spans="2:9" hidden="1" outlineLevel="1">
      <c r="B4067" s="76"/>
      <c r="C4067" t="str">
        <f>$F$5977</f>
        <v>Show</v>
      </c>
      <c r="D4067" s="23"/>
      <c r="E4067" s="13"/>
      <c r="F4067" s="70" t="s">
        <v>119</v>
      </c>
      <c r="G4067" s="12" t="s">
        <v>3464</v>
      </c>
    </row>
    <row r="4068" spans="2:9" hidden="1" outlineLevel="1">
      <c r="B4068" s="76"/>
      <c r="C4068" s="9" t="str">
        <f>C4067</f>
        <v>Show</v>
      </c>
      <c r="D4068" s="23"/>
      <c r="E4068" s="13"/>
      <c r="G4068" s="78" t="s">
        <v>121</v>
      </c>
      <c r="H4068" s="75" t="s">
        <v>2843</v>
      </c>
    </row>
    <row r="4069" spans="2:9" hidden="1" outlineLevel="1">
      <c r="B4069" s="76"/>
      <c r="C4069" t="str">
        <f>$F$5993</f>
        <v>Show</v>
      </c>
      <c r="D4069" s="23"/>
      <c r="E4069" s="13"/>
      <c r="F4069" s="70" t="str">
        <f>CHAR(65+(COUNTIF(C$4067:C4068,"Show")/2))&amp;"."</f>
        <v>B.</v>
      </c>
      <c r="G4069" s="12" t="s">
        <v>3453</v>
      </c>
    </row>
    <row r="4070" spans="2:9" ht="30" hidden="1" outlineLevel="1">
      <c r="B4070" s="76"/>
      <c r="C4070" s="9" t="str">
        <f>C4069</f>
        <v>Show</v>
      </c>
      <c r="D4070" s="23"/>
      <c r="E4070" s="13"/>
      <c r="G4070" s="78" t="s">
        <v>121</v>
      </c>
      <c r="H4070" s="75" t="s">
        <v>2836</v>
      </c>
    </row>
    <row r="4071" spans="2:9" hidden="1" outlineLevel="1">
      <c r="B4071" s="76"/>
      <c r="C4071" s="9" t="str">
        <f>C4054</f>
        <v>Show</v>
      </c>
    </row>
    <row r="4072" spans="2:9" collapsed="1">
      <c r="B4072" s="23"/>
      <c r="C4072" s="2" t="str">
        <f>C4073</f>
        <v>Show</v>
      </c>
      <c r="D4072" s="55" t="s">
        <v>1698</v>
      </c>
      <c r="E4072" s="55"/>
      <c r="F4072" s="57" t="s">
        <v>1021</v>
      </c>
      <c r="G4072" s="53"/>
      <c r="H4072" s="54"/>
      <c r="I4072" s="75"/>
    </row>
    <row r="4073" spans="2:9" hidden="1" outlineLevel="1">
      <c r="B4073" s="76"/>
      <c r="C4073" s="2" t="str">
        <f>IF((COUNTIF(C4077:C4081,"Show")+COUNTIF(C4084:C4087,"Show")+COUNTIF(C4090:C4093,"Show"))&gt;0,"Show","Hide")</f>
        <v>Show</v>
      </c>
      <c r="D4073" s="23" t="s">
        <v>117</v>
      </c>
      <c r="E4073" s="13"/>
      <c r="G4073" s="13"/>
    </row>
    <row r="4074" spans="2:9" hidden="1" outlineLevel="1">
      <c r="B4074" s="76"/>
      <c r="C4074" s="9" t="str">
        <f>C4073</f>
        <v>Show</v>
      </c>
      <c r="D4074" s="23"/>
      <c r="E4074" s="13">
        <v>1.1000000000000001</v>
      </c>
      <c r="F4074" s="11" t="s">
        <v>118</v>
      </c>
      <c r="G4074" s="13"/>
    </row>
    <row r="4075" spans="2:9" hidden="1" outlineLevel="1">
      <c r="B4075" s="76"/>
      <c r="C4075" s="9" t="str">
        <f>C4074</f>
        <v>Show</v>
      </c>
      <c r="D4075" s="23"/>
      <c r="E4075" s="13"/>
      <c r="F4075" s="70" t="s">
        <v>119</v>
      </c>
      <c r="G4075" s="18" t="s">
        <v>677</v>
      </c>
    </row>
    <row r="4076" spans="2:9" hidden="1" outlineLevel="1">
      <c r="B4076" s="76"/>
      <c r="C4076" s="9" t="str">
        <f>C4075</f>
        <v>Show</v>
      </c>
      <c r="D4076" s="23"/>
      <c r="E4076" s="13"/>
      <c r="F4076" s="70"/>
      <c r="G4076" s="78" t="s">
        <v>121</v>
      </c>
      <c r="H4076" s="79" t="s">
        <v>2301</v>
      </c>
    </row>
    <row r="4077" spans="2:9" hidden="1" outlineLevel="1">
      <c r="B4077" s="76"/>
      <c r="C4077" s="9" t="str">
        <f>IF(COUNTIF(C4078:C4081,"Show")&gt;0,"Show","Hide")</f>
        <v>Show</v>
      </c>
      <c r="D4077" s="23"/>
      <c r="E4077" s="13">
        <v>1.2</v>
      </c>
      <c r="F4077" s="71" t="s">
        <v>131</v>
      </c>
      <c r="G4077" s="78"/>
    </row>
    <row r="4078" spans="2:9" hidden="1" outlineLevel="1">
      <c r="B4078" s="76"/>
      <c r="C4078" t="str">
        <f>$D$5974</f>
        <v>Show</v>
      </c>
      <c r="D4078" s="23"/>
      <c r="E4078" s="13"/>
      <c r="F4078" s="70" t="s">
        <v>119</v>
      </c>
      <c r="G4078" s="12" t="s">
        <v>3407</v>
      </c>
    </row>
    <row r="4079" spans="2:9" ht="30" hidden="1" outlineLevel="1">
      <c r="B4079" s="76"/>
      <c r="C4079" s="9" t="str">
        <f>C4078</f>
        <v>Show</v>
      </c>
      <c r="D4079" s="23"/>
      <c r="E4079" s="13"/>
      <c r="F4079" s="70"/>
      <c r="G4079" s="78" t="s">
        <v>121</v>
      </c>
      <c r="H4079" s="75" t="s">
        <v>2844</v>
      </c>
    </row>
    <row r="4080" spans="2:9" hidden="1" outlineLevel="1">
      <c r="B4080" s="76"/>
      <c r="C4080" t="str">
        <f>$D$5993</f>
        <v>Show</v>
      </c>
      <c r="D4080" s="23"/>
      <c r="E4080" s="13"/>
      <c r="F4080" s="70" t="str">
        <f>CHAR(65+(COUNTIF(C$4078:C4079,"Show")/2))&amp;"."</f>
        <v>B.</v>
      </c>
      <c r="G4080" s="12" t="s">
        <v>3453</v>
      </c>
    </row>
    <row r="4081" spans="2:9" ht="30" hidden="1" outlineLevel="1">
      <c r="B4081" s="76"/>
      <c r="C4081" s="9" t="str">
        <f>C4080</f>
        <v>Show</v>
      </c>
      <c r="D4081" s="23"/>
      <c r="E4081" s="13"/>
      <c r="F4081" s="70"/>
      <c r="G4081" s="78" t="s">
        <v>121</v>
      </c>
      <c r="H4081" s="75" t="s">
        <v>2847</v>
      </c>
    </row>
    <row r="4082" spans="2:9" hidden="1" outlineLevel="1">
      <c r="B4082" s="76"/>
      <c r="C4082" s="9" t="str">
        <f>C4073</f>
        <v>Show</v>
      </c>
      <c r="D4082" s="23" t="s">
        <v>613</v>
      </c>
      <c r="E4082" s="13"/>
      <c r="G4082" s="13"/>
    </row>
    <row r="4083" spans="2:9" hidden="1" outlineLevel="1">
      <c r="B4083" s="76"/>
      <c r="C4083" s="9" t="str">
        <f>C4073</f>
        <v>Show</v>
      </c>
      <c r="D4083" s="23"/>
      <c r="E4083" s="12" t="str">
        <f>IF(COUNTIF(C4084:C4087,"Show")&gt;0,"2.1 Product Requirements","No EGC Requirements")</f>
        <v>2.1 Product Requirements</v>
      </c>
      <c r="G4083" s="13"/>
    </row>
    <row r="4084" spans="2:9" hidden="1" outlineLevel="1">
      <c r="B4084" s="76"/>
      <c r="C4084" t="str">
        <f>$E$5974</f>
        <v>Show</v>
      </c>
      <c r="D4084" s="23"/>
      <c r="E4084" s="12"/>
      <c r="F4084" s="70" t="s">
        <v>119</v>
      </c>
      <c r="G4084" s="12" t="s">
        <v>3407</v>
      </c>
    </row>
    <row r="4085" spans="2:9" ht="30" hidden="1" outlineLevel="1">
      <c r="B4085" s="76"/>
      <c r="C4085" s="9" t="str">
        <f>C4084</f>
        <v>Show</v>
      </c>
      <c r="D4085" s="23"/>
      <c r="E4085" s="12"/>
      <c r="G4085" s="30" t="s">
        <v>121</v>
      </c>
      <c r="H4085" s="75" t="s">
        <v>2845</v>
      </c>
    </row>
    <row r="4086" spans="2:9" hidden="1" outlineLevel="1">
      <c r="B4086" s="76"/>
      <c r="C4086" t="str">
        <f>$E$5993</f>
        <v>Show</v>
      </c>
      <c r="D4086" s="23"/>
      <c r="E4086" s="12"/>
      <c r="F4086" s="70" t="str">
        <f>CHAR(65+(COUNTIF(C$4084:C4085,"Show")/2))&amp;"."</f>
        <v>B.</v>
      </c>
      <c r="G4086" s="12" t="s">
        <v>3453</v>
      </c>
    </row>
    <row r="4087" spans="2:9" ht="30" hidden="1" outlineLevel="1">
      <c r="B4087" s="76"/>
      <c r="C4087" s="9" t="str">
        <f>C4086</f>
        <v>Show</v>
      </c>
      <c r="D4087" s="23"/>
      <c r="E4087" s="12"/>
      <c r="G4087" s="78" t="s">
        <v>121</v>
      </c>
      <c r="H4087" s="75" t="s">
        <v>2849</v>
      </c>
    </row>
    <row r="4088" spans="2:9" hidden="1" outlineLevel="1">
      <c r="B4088" s="76"/>
      <c r="C4088" s="9" t="str">
        <f>C4073</f>
        <v>Show</v>
      </c>
      <c r="D4088" s="23" t="s">
        <v>187</v>
      </c>
      <c r="E4088" s="13"/>
      <c r="G4088" s="13"/>
    </row>
    <row r="4089" spans="2:9" hidden="1" outlineLevel="1">
      <c r="B4089" s="76"/>
      <c r="C4089" s="9" t="str">
        <f>C4073</f>
        <v>Show</v>
      </c>
      <c r="D4089" s="23"/>
      <c r="E4089" s="12" t="str">
        <f>IF(COUNTIF(C4090:C4093,"Show")&gt;0,"3.1 Execution Requirements","No EGC Requirements")</f>
        <v>3.1 Execution Requirements</v>
      </c>
      <c r="G4089" s="13"/>
    </row>
    <row r="4090" spans="2:9" hidden="1" outlineLevel="1">
      <c r="B4090" s="76"/>
      <c r="C4090" t="str">
        <f>$F$5974</f>
        <v>Show</v>
      </c>
      <c r="D4090" s="23"/>
      <c r="E4090" s="13"/>
      <c r="F4090" s="70" t="s">
        <v>119</v>
      </c>
      <c r="G4090" s="12" t="s">
        <v>3407</v>
      </c>
    </row>
    <row r="4091" spans="2:9" ht="30" hidden="1" outlineLevel="1">
      <c r="B4091" s="76"/>
      <c r="C4091" s="9" t="str">
        <f>C4090</f>
        <v>Show</v>
      </c>
      <c r="D4091" s="23"/>
      <c r="E4091" s="13"/>
      <c r="G4091" s="78" t="s">
        <v>121</v>
      </c>
      <c r="H4091" s="75" t="s">
        <v>2846</v>
      </c>
    </row>
    <row r="4092" spans="2:9" hidden="1" outlineLevel="1">
      <c r="B4092" s="76"/>
      <c r="C4092" t="str">
        <f>$F$5993</f>
        <v>Show</v>
      </c>
      <c r="D4092" s="23"/>
      <c r="E4092" s="13"/>
      <c r="F4092" s="70" t="str">
        <f>CHAR(65+(COUNTIF(C$4090:C4091,"Show")/2))&amp;"."</f>
        <v>B.</v>
      </c>
      <c r="G4092" s="12" t="s">
        <v>3453</v>
      </c>
    </row>
    <row r="4093" spans="2:9" ht="30" hidden="1" outlineLevel="1">
      <c r="B4093" s="76"/>
      <c r="C4093" s="9" t="str">
        <f>C4092</f>
        <v>Show</v>
      </c>
      <c r="D4093" s="23"/>
      <c r="E4093" s="13"/>
      <c r="G4093" s="78" t="s">
        <v>121</v>
      </c>
      <c r="H4093" s="75" t="s">
        <v>2848</v>
      </c>
    </row>
    <row r="4094" spans="2:9" hidden="1" outlineLevel="1">
      <c r="B4094" s="76"/>
      <c r="C4094" s="9" t="str">
        <f>C4073</f>
        <v>Show</v>
      </c>
    </row>
    <row r="4095" spans="2:9" collapsed="1">
      <c r="B4095" s="23"/>
      <c r="C4095" s="2" t="str">
        <f>C4096</f>
        <v>Show</v>
      </c>
      <c r="D4095" s="55" t="s">
        <v>1699</v>
      </c>
      <c r="E4095" s="55"/>
      <c r="F4095" s="57" t="s">
        <v>1688</v>
      </c>
      <c r="G4095" s="53"/>
      <c r="H4095" s="54"/>
      <c r="I4095" s="75"/>
    </row>
    <row r="4096" spans="2:9" hidden="1" outlineLevel="1">
      <c r="B4096" s="76"/>
      <c r="C4096" s="2" t="str">
        <f>IF((COUNTIF(C4100:C4102,"Show")+COUNTIF(C4105:C4106,"Show")+COUNTIF(C4109:C4110,"Show"))&gt;0,"Show","Hide")</f>
        <v>Show</v>
      </c>
      <c r="D4096" s="23" t="s">
        <v>117</v>
      </c>
      <c r="E4096" s="13"/>
      <c r="G4096" s="13"/>
    </row>
    <row r="4097" spans="2:9" hidden="1" outlineLevel="1">
      <c r="B4097" s="76"/>
      <c r="C4097" s="9" t="str">
        <f>C4096</f>
        <v>Show</v>
      </c>
      <c r="D4097" s="23"/>
      <c r="E4097" s="13">
        <v>1.1000000000000001</v>
      </c>
      <c r="F4097" s="11" t="s">
        <v>118</v>
      </c>
      <c r="G4097" s="13"/>
    </row>
    <row r="4098" spans="2:9" hidden="1" outlineLevel="1">
      <c r="B4098" s="76"/>
      <c r="C4098" s="9" t="str">
        <f>C4097</f>
        <v>Show</v>
      </c>
      <c r="D4098" s="23"/>
      <c r="E4098" s="13"/>
      <c r="F4098" s="70" t="s">
        <v>119</v>
      </c>
      <c r="G4098" s="18" t="s">
        <v>677</v>
      </c>
    </row>
    <row r="4099" spans="2:9" hidden="1" outlineLevel="1">
      <c r="B4099" s="76"/>
      <c r="C4099" s="9" t="str">
        <f>C4098</f>
        <v>Show</v>
      </c>
      <c r="D4099" s="23"/>
      <c r="E4099" s="13"/>
      <c r="F4099" s="70"/>
      <c r="G4099" s="78" t="s">
        <v>121</v>
      </c>
      <c r="H4099" s="79" t="s">
        <v>2301</v>
      </c>
    </row>
    <row r="4100" spans="2:9" hidden="1" outlineLevel="1">
      <c r="B4100" s="76"/>
      <c r="C4100" s="9" t="str">
        <f>IF(COUNTIF(C4101:C4102,"Show")&gt;0,"Show","Hide")</f>
        <v>Show</v>
      </c>
      <c r="D4100" s="23"/>
      <c r="E4100" s="13">
        <v>1.2</v>
      </c>
      <c r="F4100" s="71" t="s">
        <v>131</v>
      </c>
      <c r="G4100" s="78"/>
    </row>
    <row r="4101" spans="2:9" hidden="1" outlineLevel="1">
      <c r="B4101" s="76"/>
      <c r="C4101" t="str">
        <f>$D$5994</f>
        <v>Show</v>
      </c>
      <c r="D4101" s="23"/>
      <c r="E4101" s="13"/>
      <c r="F4101" s="70" t="s">
        <v>119</v>
      </c>
      <c r="G4101" s="12" t="s">
        <v>3459</v>
      </c>
    </row>
    <row r="4102" spans="2:9" hidden="1" outlineLevel="1">
      <c r="B4102" s="76"/>
      <c r="C4102" s="9" t="str">
        <f>C4101</f>
        <v>Show</v>
      </c>
      <c r="D4102" s="23"/>
      <c r="E4102" s="13"/>
      <c r="F4102" s="70"/>
      <c r="G4102" s="78" t="s">
        <v>121</v>
      </c>
      <c r="H4102" s="75" t="s">
        <v>2810</v>
      </c>
    </row>
    <row r="4103" spans="2:9" hidden="1" outlineLevel="1">
      <c r="B4103" s="76"/>
      <c r="C4103" s="9" t="str">
        <f>C4096</f>
        <v>Show</v>
      </c>
      <c r="D4103" s="23" t="s">
        <v>613</v>
      </c>
      <c r="E4103" s="13"/>
      <c r="G4103" s="13"/>
    </row>
    <row r="4104" spans="2:9" hidden="1" outlineLevel="1">
      <c r="B4104" s="76"/>
      <c r="C4104" s="9" t="str">
        <f>C4096</f>
        <v>Show</v>
      </c>
      <c r="D4104" s="23"/>
      <c r="E4104" s="12" t="str">
        <f>IF(COUNTIF(C4105:C4106,"Show")&gt;0,"2.1 Product Requirements","No EGC Requirements")</f>
        <v>2.1 Product Requirements</v>
      </c>
      <c r="G4104" s="13"/>
    </row>
    <row r="4105" spans="2:9" hidden="1" outlineLevel="1">
      <c r="B4105" s="76"/>
      <c r="C4105" t="str">
        <f>$E$5994</f>
        <v>Show</v>
      </c>
      <c r="D4105" s="23"/>
      <c r="E4105" s="12"/>
      <c r="F4105" s="70" t="s">
        <v>119</v>
      </c>
      <c r="G4105" s="12" t="s">
        <v>3459</v>
      </c>
    </row>
    <row r="4106" spans="2:9" hidden="1" outlineLevel="1">
      <c r="B4106" s="76"/>
      <c r="C4106" s="9" t="str">
        <f>C4105</f>
        <v>Show</v>
      </c>
      <c r="D4106" s="23"/>
      <c r="E4106" s="12"/>
      <c r="G4106" s="30" t="s">
        <v>121</v>
      </c>
      <c r="H4106" s="75" t="s">
        <v>2809</v>
      </c>
    </row>
    <row r="4107" spans="2:9" hidden="1" outlineLevel="1">
      <c r="B4107" s="76"/>
      <c r="C4107" s="9" t="str">
        <f>C4096</f>
        <v>Show</v>
      </c>
      <c r="D4107" s="23" t="s">
        <v>187</v>
      </c>
      <c r="E4107" s="13"/>
      <c r="G4107" s="13"/>
    </row>
    <row r="4108" spans="2:9" hidden="1" outlineLevel="1">
      <c r="B4108" s="76"/>
      <c r="C4108" s="9" t="str">
        <f>C4096</f>
        <v>Show</v>
      </c>
      <c r="D4108" s="23"/>
      <c r="E4108" s="12" t="str">
        <f>IF(COUNTIF(C4109:C4110,"Show")&gt;0,"3.1 Execution Requirements","No EGC Requirements")</f>
        <v>3.1 Execution Requirements</v>
      </c>
      <c r="G4108" s="13"/>
    </row>
    <row r="4109" spans="2:9" hidden="1" outlineLevel="1">
      <c r="B4109" s="76"/>
      <c r="C4109" t="str">
        <f>$F$5994</f>
        <v>Show</v>
      </c>
      <c r="D4109" s="23"/>
      <c r="E4109" s="13"/>
      <c r="F4109" s="70" t="s">
        <v>119</v>
      </c>
      <c r="G4109" s="12" t="s">
        <v>3459</v>
      </c>
    </row>
    <row r="4110" spans="2:9" ht="30" hidden="1" outlineLevel="1">
      <c r="B4110" s="76"/>
      <c r="C4110" s="9" t="str">
        <f>C4109</f>
        <v>Show</v>
      </c>
      <c r="D4110" s="23"/>
      <c r="E4110" s="13"/>
      <c r="G4110" s="78" t="s">
        <v>121</v>
      </c>
      <c r="H4110" s="75" t="s">
        <v>2815</v>
      </c>
    </row>
    <row r="4111" spans="2:9" hidden="1" outlineLevel="1">
      <c r="B4111" s="76"/>
      <c r="C4111" s="9" t="str">
        <f>C4096</f>
        <v>Show</v>
      </c>
    </row>
    <row r="4112" spans="2:9" collapsed="1">
      <c r="B4112" s="23"/>
      <c r="C4112" s="2" t="str">
        <f>C4113</f>
        <v>Show</v>
      </c>
      <c r="D4112" s="55" t="s">
        <v>2039</v>
      </c>
      <c r="E4112" s="55"/>
      <c r="F4112" s="57" t="s">
        <v>2040</v>
      </c>
      <c r="G4112" s="53"/>
      <c r="H4112" s="54"/>
      <c r="I4112" s="75"/>
    </row>
    <row r="4113" spans="2:9" hidden="1" outlineLevel="1">
      <c r="B4113" s="76"/>
      <c r="C4113" s="2" t="str">
        <f>IF((COUNTIF(C4117:C4119,"Show")+COUNTIF(C4124:C4125,"Show"))&gt;0,"Show","Hide")</f>
        <v>Show</v>
      </c>
      <c r="D4113" s="23" t="s">
        <v>117</v>
      </c>
      <c r="E4113" s="13"/>
      <c r="G4113" s="13"/>
    </row>
    <row r="4114" spans="2:9" hidden="1" outlineLevel="1">
      <c r="B4114" s="76"/>
      <c r="C4114" s="9" t="str">
        <f>C4113</f>
        <v>Show</v>
      </c>
      <c r="D4114" s="23"/>
      <c r="E4114" s="13">
        <v>1.1000000000000001</v>
      </c>
      <c r="F4114" s="11" t="s">
        <v>118</v>
      </c>
      <c r="G4114" s="13"/>
    </row>
    <row r="4115" spans="2:9" hidden="1" outlineLevel="1">
      <c r="B4115" s="76"/>
      <c r="C4115" s="9" t="str">
        <f>C4114</f>
        <v>Show</v>
      </c>
      <c r="D4115" s="23"/>
      <c r="E4115" s="13"/>
      <c r="F4115" s="70" t="s">
        <v>119</v>
      </c>
      <c r="G4115" s="18" t="s">
        <v>677</v>
      </c>
    </row>
    <row r="4116" spans="2:9" hidden="1" outlineLevel="1">
      <c r="B4116" s="76"/>
      <c r="C4116" s="9" t="str">
        <f>C4115</f>
        <v>Show</v>
      </c>
      <c r="D4116" s="23"/>
      <c r="E4116" s="13"/>
      <c r="F4116" s="70"/>
      <c r="G4116" s="78" t="s">
        <v>121</v>
      </c>
      <c r="H4116" s="79" t="s">
        <v>2301</v>
      </c>
    </row>
    <row r="4117" spans="2:9" hidden="1" outlineLevel="1">
      <c r="B4117" s="76"/>
      <c r="C4117" s="9" t="str">
        <f>IF(COUNTIF(C4118:C4119,"Show")&gt;0,"Show","Hide")</f>
        <v>Show</v>
      </c>
      <c r="D4117" s="23"/>
      <c r="E4117" s="13">
        <v>1.2</v>
      </c>
      <c r="F4117" s="71" t="s">
        <v>131</v>
      </c>
      <c r="G4117" s="78"/>
    </row>
    <row r="4118" spans="2:9" hidden="1" outlineLevel="1">
      <c r="B4118" s="76"/>
      <c r="C4118" t="str">
        <f>$D$5940</f>
        <v>Show</v>
      </c>
      <c r="D4118" s="23"/>
      <c r="E4118" s="13"/>
      <c r="F4118" s="70" t="s">
        <v>119</v>
      </c>
      <c r="G4118" s="12" t="s">
        <v>3461</v>
      </c>
    </row>
    <row r="4119" spans="2:9" ht="30" hidden="1" outlineLevel="1">
      <c r="B4119" s="76"/>
      <c r="C4119" s="9" t="str">
        <f>C4118</f>
        <v>Show</v>
      </c>
      <c r="D4119" s="23"/>
      <c r="E4119" s="13"/>
      <c r="F4119" s="70"/>
      <c r="G4119" s="78" t="s">
        <v>121</v>
      </c>
      <c r="H4119" s="75" t="s">
        <v>2850</v>
      </c>
    </row>
    <row r="4120" spans="2:9" hidden="1" outlineLevel="1">
      <c r="B4120" s="76"/>
      <c r="C4120" s="9" t="str">
        <f>C4113</f>
        <v>Show</v>
      </c>
      <c r="D4120" s="23" t="s">
        <v>613</v>
      </c>
      <c r="E4120" s="13"/>
      <c r="G4120" s="13"/>
    </row>
    <row r="4121" spans="2:9" hidden="1" outlineLevel="1">
      <c r="B4121" s="76"/>
      <c r="C4121" s="9" t="str">
        <f>C4113</f>
        <v>Show</v>
      </c>
      <c r="D4121" s="23"/>
      <c r="E4121" s="12" t="s">
        <v>2703</v>
      </c>
      <c r="G4121" s="13"/>
    </row>
    <row r="4122" spans="2:9" hidden="1" outlineLevel="1">
      <c r="B4122" s="76"/>
      <c r="C4122" s="9" t="str">
        <f>C4113</f>
        <v>Show</v>
      </c>
      <c r="D4122" s="23" t="s">
        <v>187</v>
      </c>
      <c r="E4122" s="13"/>
      <c r="G4122" s="13"/>
    </row>
    <row r="4123" spans="2:9" hidden="1" outlineLevel="1">
      <c r="B4123" s="76"/>
      <c r="C4123" s="9" t="str">
        <f>C4113</f>
        <v>Show</v>
      </c>
      <c r="D4123" s="23"/>
      <c r="E4123" s="12" t="str">
        <f>IF(COUNTIF(C4124:C4125,"Show")&gt;0,"3.1 Execution Requirements","No EGC Requirements")</f>
        <v>3.1 Execution Requirements</v>
      </c>
      <c r="G4123" s="13"/>
    </row>
    <row r="4124" spans="2:9" hidden="1" outlineLevel="1">
      <c r="B4124" s="76"/>
      <c r="C4124" t="str">
        <f>$F$5940</f>
        <v>Show</v>
      </c>
      <c r="D4124" s="23"/>
      <c r="E4124" s="13"/>
      <c r="F4124" s="70" t="s">
        <v>119</v>
      </c>
      <c r="G4124" s="12" t="s">
        <v>3461</v>
      </c>
    </row>
    <row r="4125" spans="2:9" ht="30" hidden="1" outlineLevel="1">
      <c r="B4125" s="76"/>
      <c r="C4125" s="9" t="str">
        <f>C4124</f>
        <v>Show</v>
      </c>
      <c r="D4125" s="23"/>
      <c r="E4125" s="13"/>
      <c r="G4125" s="78" t="s">
        <v>121</v>
      </c>
      <c r="H4125" s="75" t="s">
        <v>2851</v>
      </c>
    </row>
    <row r="4126" spans="2:9" hidden="1" outlineLevel="1">
      <c r="B4126" s="76"/>
      <c r="C4126" s="9" t="str">
        <f>C4113</f>
        <v>Show</v>
      </c>
    </row>
    <row r="4127" spans="2:9" collapsed="1">
      <c r="B4127" s="76"/>
      <c r="C4127" s="7" t="s">
        <v>116</v>
      </c>
      <c r="D4127" s="80"/>
      <c r="E4127" s="132"/>
      <c r="F4127" s="12"/>
      <c r="G4127" s="69"/>
      <c r="I4127" s="75"/>
    </row>
    <row r="4128" spans="2:9">
      <c r="B4128" s="76"/>
      <c r="C4128" s="7" t="s">
        <v>116</v>
      </c>
      <c r="D4128" s="38" t="s">
        <v>1749</v>
      </c>
      <c r="E4128" s="45"/>
      <c r="F4128" s="46"/>
      <c r="G4128" s="39"/>
      <c r="H4128" s="41"/>
      <c r="I4128" s="75"/>
    </row>
    <row r="4129" spans="2:9">
      <c r="B4129" s="23"/>
      <c r="C4129" s="2" t="str">
        <f>C4130</f>
        <v>Show</v>
      </c>
      <c r="D4129" s="55" t="s">
        <v>1701</v>
      </c>
      <c r="E4129" s="55"/>
      <c r="F4129" s="57" t="s">
        <v>1689</v>
      </c>
      <c r="G4129" s="53"/>
      <c r="H4129" s="54"/>
      <c r="I4129" s="75"/>
    </row>
    <row r="4130" spans="2:9" hidden="1" outlineLevel="1">
      <c r="B4130" s="76"/>
      <c r="C4130" s="2" t="str">
        <f>IF((COUNTIF(C4134:C4136,"Show")+COUNTIF(C4139:C4140,"Show")+COUNTIF(C4143:C4144,"Show"))&gt;0,"Show","Hide")</f>
        <v>Show</v>
      </c>
      <c r="D4130" s="23" t="s">
        <v>117</v>
      </c>
      <c r="E4130" s="13"/>
      <c r="G4130" s="13"/>
    </row>
    <row r="4131" spans="2:9" hidden="1" outlineLevel="1">
      <c r="B4131" s="76"/>
      <c r="C4131" s="9" t="str">
        <f>C4130</f>
        <v>Show</v>
      </c>
      <c r="D4131" s="23"/>
      <c r="E4131" s="13">
        <v>1.1000000000000001</v>
      </c>
      <c r="F4131" s="11" t="s">
        <v>118</v>
      </c>
      <c r="G4131" s="13"/>
    </row>
    <row r="4132" spans="2:9" hidden="1" outlineLevel="1">
      <c r="B4132" s="76"/>
      <c r="C4132" s="9" t="str">
        <f>C4131</f>
        <v>Show</v>
      </c>
      <c r="D4132" s="23"/>
      <c r="E4132" s="13"/>
      <c r="F4132" s="70" t="s">
        <v>119</v>
      </c>
      <c r="G4132" s="18" t="s">
        <v>677</v>
      </c>
    </row>
    <row r="4133" spans="2:9" hidden="1" outlineLevel="1">
      <c r="B4133" s="76"/>
      <c r="C4133" s="9" t="str">
        <f>C4132</f>
        <v>Show</v>
      </c>
      <c r="D4133" s="23"/>
      <c r="E4133" s="13"/>
      <c r="F4133" s="70"/>
      <c r="G4133" s="78" t="s">
        <v>121</v>
      </c>
      <c r="H4133" s="79" t="s">
        <v>2301</v>
      </c>
    </row>
    <row r="4134" spans="2:9" hidden="1" outlineLevel="1">
      <c r="B4134" s="76"/>
      <c r="C4134" s="9" t="str">
        <f>IF(COUNTIF(C4135:C4136,"Show")&gt;0,"Show","Hide")</f>
        <v>Show</v>
      </c>
      <c r="D4134" s="23"/>
      <c r="E4134" s="13">
        <v>1.2</v>
      </c>
      <c r="F4134" s="71" t="s">
        <v>131</v>
      </c>
      <c r="G4134" s="78"/>
    </row>
    <row r="4135" spans="2:9" hidden="1" outlineLevel="1">
      <c r="B4135" s="76"/>
      <c r="C4135" t="str">
        <f>$D$5994</f>
        <v>Show</v>
      </c>
      <c r="D4135" s="23"/>
      <c r="E4135" s="13"/>
      <c r="F4135" s="70" t="s">
        <v>119</v>
      </c>
      <c r="G4135" s="12" t="s">
        <v>3459</v>
      </c>
    </row>
    <row r="4136" spans="2:9" ht="30" hidden="1" outlineLevel="1">
      <c r="B4136" s="76"/>
      <c r="C4136" s="9" t="str">
        <f>C4135</f>
        <v>Show</v>
      </c>
      <c r="D4136" s="23"/>
      <c r="E4136" s="13"/>
      <c r="F4136" s="70"/>
      <c r="G4136" s="78" t="s">
        <v>121</v>
      </c>
      <c r="H4136" s="75" t="s">
        <v>2852</v>
      </c>
    </row>
    <row r="4137" spans="2:9" hidden="1" outlineLevel="1">
      <c r="B4137" s="76"/>
      <c r="C4137" s="9" t="str">
        <f>C4130</f>
        <v>Show</v>
      </c>
      <c r="D4137" s="23" t="s">
        <v>613</v>
      </c>
      <c r="E4137" s="13"/>
      <c r="G4137" s="13"/>
    </row>
    <row r="4138" spans="2:9" hidden="1" outlineLevel="1">
      <c r="B4138" s="76"/>
      <c r="C4138" s="9" t="str">
        <f>C4130</f>
        <v>Show</v>
      </c>
      <c r="D4138" s="23"/>
      <c r="E4138" s="12" t="str">
        <f>IF(COUNTIF(C4139:C4140,"Show")&gt;0,"2.1 Product Requirements","No EGC Requirements")</f>
        <v>2.1 Product Requirements</v>
      </c>
      <c r="G4138" s="13"/>
    </row>
    <row r="4139" spans="2:9" hidden="1" outlineLevel="1">
      <c r="B4139" s="76"/>
      <c r="C4139" t="str">
        <f>$E$5994</f>
        <v>Show</v>
      </c>
      <c r="D4139" s="23"/>
      <c r="E4139" s="12"/>
      <c r="F4139" s="70" t="s">
        <v>119</v>
      </c>
      <c r="G4139" s="12" t="s">
        <v>3459</v>
      </c>
    </row>
    <row r="4140" spans="2:9" ht="30" hidden="1" outlineLevel="1">
      <c r="B4140" s="76"/>
      <c r="C4140" s="9" t="str">
        <f>C4139</f>
        <v>Show</v>
      </c>
      <c r="D4140" s="23"/>
      <c r="E4140" s="12"/>
      <c r="G4140" s="30" t="s">
        <v>121</v>
      </c>
      <c r="H4140" s="75" t="s">
        <v>2853</v>
      </c>
    </row>
    <row r="4141" spans="2:9" hidden="1" outlineLevel="1">
      <c r="B4141" s="76"/>
      <c r="C4141" s="9" t="str">
        <f>C4130</f>
        <v>Show</v>
      </c>
      <c r="D4141" s="23" t="s">
        <v>187</v>
      </c>
      <c r="E4141" s="13"/>
      <c r="G4141" s="13"/>
    </row>
    <row r="4142" spans="2:9" hidden="1" outlineLevel="1">
      <c r="B4142" s="76"/>
      <c r="C4142" s="9" t="str">
        <f>C4130</f>
        <v>Show</v>
      </c>
      <c r="D4142" s="23"/>
      <c r="E4142" s="12" t="str">
        <f>IF(COUNTIF(C4143:C4144,"Show")&gt;0,"3.1 Execution Requirements","No EGC Requirements")</f>
        <v>3.1 Execution Requirements</v>
      </c>
      <c r="G4142" s="13"/>
    </row>
    <row r="4143" spans="2:9" hidden="1" outlineLevel="1">
      <c r="B4143" s="76"/>
      <c r="C4143" t="str">
        <f>$F$5994</f>
        <v>Show</v>
      </c>
      <c r="D4143" s="23"/>
      <c r="E4143" s="13"/>
      <c r="F4143" s="70" t="s">
        <v>119</v>
      </c>
      <c r="G4143" s="12" t="s">
        <v>3459</v>
      </c>
    </row>
    <row r="4144" spans="2:9" ht="30" hidden="1" outlineLevel="1">
      <c r="B4144" s="76"/>
      <c r="C4144" s="9" t="str">
        <f>C4143</f>
        <v>Show</v>
      </c>
      <c r="D4144" s="23"/>
      <c r="E4144" s="13"/>
      <c r="G4144" s="78" t="s">
        <v>121</v>
      </c>
      <c r="H4144" s="75" t="s">
        <v>2854</v>
      </c>
    </row>
    <row r="4145" spans="2:9" hidden="1" outlineLevel="1">
      <c r="B4145" s="76"/>
      <c r="C4145" s="9" t="str">
        <f>C4130</f>
        <v>Show</v>
      </c>
    </row>
    <row r="4146" spans="2:9" collapsed="1">
      <c r="B4146" s="23"/>
      <c r="C4146" s="2" t="str">
        <f>C4147</f>
        <v>Show</v>
      </c>
      <c r="D4146" s="55" t="s">
        <v>1702</v>
      </c>
      <c r="E4146" s="55"/>
      <c r="F4146" s="57" t="s">
        <v>1690</v>
      </c>
      <c r="G4146" s="53"/>
      <c r="H4146" s="54"/>
      <c r="I4146" s="75"/>
    </row>
    <row r="4147" spans="2:9" hidden="1" outlineLevel="1">
      <c r="B4147" s="76"/>
      <c r="C4147" s="2" t="str">
        <f>IF((COUNTIF(C4153:C4154,"Show")+COUNTIF(C4157:C4158,"Show"))&gt;0,"Show","Hide")</f>
        <v>Show</v>
      </c>
      <c r="D4147" s="23" t="s">
        <v>117</v>
      </c>
      <c r="E4147" s="13"/>
      <c r="G4147" s="13"/>
    </row>
    <row r="4148" spans="2:9" hidden="1" outlineLevel="1">
      <c r="B4148" s="76"/>
      <c r="C4148" s="9" t="str">
        <f>C4147</f>
        <v>Show</v>
      </c>
      <c r="D4148" s="23"/>
      <c r="E4148" s="13">
        <v>1.1000000000000001</v>
      </c>
      <c r="F4148" s="11" t="s">
        <v>118</v>
      </c>
      <c r="G4148" s="13"/>
    </row>
    <row r="4149" spans="2:9" hidden="1" outlineLevel="1">
      <c r="B4149" s="76"/>
      <c r="C4149" s="9" t="str">
        <f>C4148</f>
        <v>Show</v>
      </c>
      <c r="D4149" s="23"/>
      <c r="E4149" s="13"/>
      <c r="F4149" s="70" t="s">
        <v>119</v>
      </c>
      <c r="G4149" s="18" t="s">
        <v>677</v>
      </c>
    </row>
    <row r="4150" spans="2:9" hidden="1" outlineLevel="1">
      <c r="B4150" s="76"/>
      <c r="C4150" s="9" t="str">
        <f>C4149</f>
        <v>Show</v>
      </c>
      <c r="D4150" s="23"/>
      <c r="E4150" s="13"/>
      <c r="F4150" s="70"/>
      <c r="G4150" s="78" t="s">
        <v>121</v>
      </c>
      <c r="H4150" s="79" t="s">
        <v>2301</v>
      </c>
    </row>
    <row r="4151" spans="2:9" hidden="1" outlineLevel="1">
      <c r="B4151" s="76"/>
      <c r="C4151" s="9" t="str">
        <f>C4147</f>
        <v>Show</v>
      </c>
      <c r="D4151" s="23" t="s">
        <v>613</v>
      </c>
      <c r="E4151" s="13"/>
      <c r="G4151" s="13"/>
    </row>
    <row r="4152" spans="2:9" hidden="1" outlineLevel="1">
      <c r="B4152" s="76"/>
      <c r="C4152" s="9" t="str">
        <f>C4147</f>
        <v>Show</v>
      </c>
      <c r="D4152" s="23"/>
      <c r="E4152" s="12" t="str">
        <f>IF(COUNTIF(C4153:C4154,"Show")&gt;0,"2.1 Product Requirements","No EGC Requirements")</f>
        <v>2.1 Product Requirements</v>
      </c>
      <c r="G4152" s="13"/>
    </row>
    <row r="4153" spans="2:9" hidden="1" outlineLevel="1">
      <c r="B4153" s="76"/>
      <c r="C4153" t="str">
        <f>$E$5974</f>
        <v>Show</v>
      </c>
      <c r="D4153" s="23"/>
      <c r="E4153" s="12"/>
      <c r="F4153" s="70" t="s">
        <v>119</v>
      </c>
      <c r="G4153" s="12" t="s">
        <v>3407</v>
      </c>
    </row>
    <row r="4154" spans="2:9" ht="30" hidden="1" outlineLevel="1">
      <c r="B4154" s="76"/>
      <c r="C4154" s="9" t="str">
        <f>C4153</f>
        <v>Show</v>
      </c>
      <c r="D4154" s="23"/>
      <c r="E4154" s="12"/>
      <c r="G4154" s="30" t="s">
        <v>121</v>
      </c>
      <c r="H4154" s="75" t="s">
        <v>2855</v>
      </c>
    </row>
    <row r="4155" spans="2:9" hidden="1" outlineLevel="1">
      <c r="B4155" s="76"/>
      <c r="C4155" s="9" t="str">
        <f>C4147</f>
        <v>Show</v>
      </c>
      <c r="D4155" s="23" t="s">
        <v>187</v>
      </c>
      <c r="E4155" s="13"/>
      <c r="G4155" s="13"/>
    </row>
    <row r="4156" spans="2:9" hidden="1" outlineLevel="1">
      <c r="B4156" s="76"/>
      <c r="C4156" s="9" t="str">
        <f>C4147</f>
        <v>Show</v>
      </c>
      <c r="D4156" s="23"/>
      <c r="E4156" s="12" t="str">
        <f>IF(COUNTIF(C4157:C4158,"Show")&gt;0,"3.1 Execution Requirements","No EGC Requirements")</f>
        <v>3.1 Execution Requirements</v>
      </c>
      <c r="G4156" s="13"/>
    </row>
    <row r="4157" spans="2:9" hidden="1" outlineLevel="1">
      <c r="B4157" s="76"/>
      <c r="C4157" t="str">
        <f>$F$5974</f>
        <v>Show</v>
      </c>
      <c r="D4157" s="23"/>
      <c r="E4157" s="13"/>
      <c r="F4157" s="70" t="s">
        <v>119</v>
      </c>
      <c r="G4157" s="12" t="s">
        <v>3407</v>
      </c>
    </row>
    <row r="4158" spans="2:9" ht="30" hidden="1" outlineLevel="1">
      <c r="B4158" s="76"/>
      <c r="C4158" s="9" t="str">
        <f>C4157</f>
        <v>Show</v>
      </c>
      <c r="D4158" s="23"/>
      <c r="E4158" s="13"/>
      <c r="G4158" s="78" t="s">
        <v>121</v>
      </c>
      <c r="H4158" s="75" t="s">
        <v>2856</v>
      </c>
    </row>
    <row r="4159" spans="2:9" hidden="1" outlineLevel="1">
      <c r="B4159" s="76"/>
      <c r="C4159" s="9" t="str">
        <f>C4147</f>
        <v>Show</v>
      </c>
    </row>
    <row r="4160" spans="2:9" collapsed="1">
      <c r="B4160" s="23"/>
      <c r="C4160" s="2" t="str">
        <f>C4161</f>
        <v>Show</v>
      </c>
      <c r="D4160" s="55" t="s">
        <v>1703</v>
      </c>
      <c r="E4160" s="55"/>
      <c r="F4160" s="57" t="s">
        <v>1691</v>
      </c>
      <c r="G4160" s="53"/>
      <c r="H4160" s="54"/>
      <c r="I4160" s="75"/>
    </row>
    <row r="4161" spans="2:9" hidden="1" outlineLevel="1">
      <c r="B4161" s="76"/>
      <c r="C4161" s="2" t="str">
        <f>IF((COUNTIF(C4167:C4168,"Show")+COUNTIF(C4171:C4172,"Show"))&gt;0,"Show","Hide")</f>
        <v>Show</v>
      </c>
      <c r="D4161" s="23" t="s">
        <v>117</v>
      </c>
      <c r="E4161" s="13"/>
      <c r="G4161" s="13"/>
    </row>
    <row r="4162" spans="2:9" hidden="1" outlineLevel="1">
      <c r="B4162" s="76"/>
      <c r="C4162" s="9" t="str">
        <f>C4161</f>
        <v>Show</v>
      </c>
      <c r="D4162" s="23"/>
      <c r="E4162" s="13">
        <v>1.1000000000000001</v>
      </c>
      <c r="F4162" s="11" t="s">
        <v>118</v>
      </c>
      <c r="G4162" s="13"/>
    </row>
    <row r="4163" spans="2:9" hidden="1" outlineLevel="1">
      <c r="B4163" s="76"/>
      <c r="C4163" s="9" t="str">
        <f>C4162</f>
        <v>Show</v>
      </c>
      <c r="D4163" s="23"/>
      <c r="E4163" s="13"/>
      <c r="F4163" s="70" t="s">
        <v>119</v>
      </c>
      <c r="G4163" s="18" t="s">
        <v>677</v>
      </c>
    </row>
    <row r="4164" spans="2:9" hidden="1" outlineLevel="1">
      <c r="B4164" s="76"/>
      <c r="C4164" s="9" t="str">
        <f>C4163</f>
        <v>Show</v>
      </c>
      <c r="D4164" s="23"/>
      <c r="E4164" s="13"/>
      <c r="F4164" s="70"/>
      <c r="G4164" s="78" t="s">
        <v>121</v>
      </c>
      <c r="H4164" s="79" t="s">
        <v>2301</v>
      </c>
    </row>
    <row r="4165" spans="2:9" hidden="1" outlineLevel="1">
      <c r="B4165" s="76"/>
      <c r="C4165" s="9" t="str">
        <f>C4161</f>
        <v>Show</v>
      </c>
      <c r="D4165" s="23" t="s">
        <v>613</v>
      </c>
      <c r="E4165" s="13"/>
      <c r="G4165" s="13"/>
    </row>
    <row r="4166" spans="2:9" hidden="1" outlineLevel="1">
      <c r="B4166" s="76"/>
      <c r="C4166" s="9" t="str">
        <f>C4161</f>
        <v>Show</v>
      </c>
      <c r="D4166" s="23"/>
      <c r="E4166" s="12" t="str">
        <f>IF(COUNTIF(C4167:C4168,"Show")&gt;0,"2.1 Product Requirements","No EGC Requirements")</f>
        <v>2.1 Product Requirements</v>
      </c>
      <c r="G4166" s="13"/>
    </row>
    <row r="4167" spans="2:9" hidden="1" outlineLevel="1">
      <c r="B4167" s="76"/>
      <c r="C4167" t="str">
        <f>$E$5974</f>
        <v>Show</v>
      </c>
      <c r="D4167" s="23"/>
      <c r="E4167" s="12"/>
      <c r="F4167" s="70" t="s">
        <v>119</v>
      </c>
      <c r="G4167" s="12" t="s">
        <v>3407</v>
      </c>
    </row>
    <row r="4168" spans="2:9" ht="30" hidden="1" outlineLevel="1">
      <c r="B4168" s="76"/>
      <c r="C4168" s="9" t="str">
        <f>C4167</f>
        <v>Show</v>
      </c>
      <c r="D4168" s="23"/>
      <c r="E4168" s="12"/>
      <c r="G4168" s="30" t="s">
        <v>121</v>
      </c>
      <c r="H4168" s="75" t="s">
        <v>2855</v>
      </c>
    </row>
    <row r="4169" spans="2:9" hidden="1" outlineLevel="1">
      <c r="B4169" s="76"/>
      <c r="C4169" s="9" t="str">
        <f>C4161</f>
        <v>Show</v>
      </c>
      <c r="D4169" s="23" t="s">
        <v>187</v>
      </c>
      <c r="E4169" s="13"/>
      <c r="G4169" s="13"/>
    </row>
    <row r="4170" spans="2:9" hidden="1" outlineLevel="1">
      <c r="B4170" s="76"/>
      <c r="C4170" s="9" t="str">
        <f>C4161</f>
        <v>Show</v>
      </c>
      <c r="D4170" s="23"/>
      <c r="E4170" s="12" t="str">
        <f>IF(COUNTIF(C4171:C4172,"Show")&gt;0,"3.1 Execution Requirements","No EGC Requirements")</f>
        <v>3.1 Execution Requirements</v>
      </c>
      <c r="G4170" s="13"/>
    </row>
    <row r="4171" spans="2:9" hidden="1" outlineLevel="1">
      <c r="B4171" s="76"/>
      <c r="C4171" t="str">
        <f>$F$5974</f>
        <v>Show</v>
      </c>
      <c r="D4171" s="23"/>
      <c r="E4171" s="13"/>
      <c r="F4171" s="70" t="s">
        <v>119</v>
      </c>
      <c r="G4171" s="12" t="s">
        <v>3407</v>
      </c>
    </row>
    <row r="4172" spans="2:9" ht="30" hidden="1" outlineLevel="1">
      <c r="B4172" s="76"/>
      <c r="C4172" s="9" t="str">
        <f>C4171</f>
        <v>Show</v>
      </c>
      <c r="D4172" s="23"/>
      <c r="E4172" s="13"/>
      <c r="G4172" s="78" t="s">
        <v>121</v>
      </c>
      <c r="H4172" s="75" t="s">
        <v>2856</v>
      </c>
    </row>
    <row r="4173" spans="2:9" hidden="1" outlineLevel="1">
      <c r="B4173" s="76"/>
      <c r="C4173" s="9" t="str">
        <f>C4161</f>
        <v>Show</v>
      </c>
    </row>
    <row r="4174" spans="2:9" collapsed="1">
      <c r="B4174" s="76"/>
      <c r="C4174" s="7" t="s">
        <v>116</v>
      </c>
      <c r="D4174" s="83"/>
      <c r="E4174" s="83"/>
      <c r="F4174" s="81"/>
      <c r="G4174" s="69"/>
      <c r="I4174" s="75"/>
    </row>
    <row r="4175" spans="2:9">
      <c r="B4175" s="76"/>
      <c r="C4175" s="7" t="s">
        <v>116</v>
      </c>
      <c r="D4175" s="38" t="s">
        <v>557</v>
      </c>
      <c r="E4175" s="45"/>
      <c r="F4175" s="46"/>
      <c r="G4175" s="39"/>
      <c r="H4175" s="41"/>
      <c r="I4175" s="75"/>
    </row>
    <row r="4176" spans="2:9">
      <c r="B4176" s="23"/>
      <c r="C4176" s="2" t="str">
        <f>C4177</f>
        <v>Show</v>
      </c>
      <c r="D4176" s="55" t="s">
        <v>304</v>
      </c>
      <c r="E4176" s="55"/>
      <c r="F4176" s="57" t="s">
        <v>305</v>
      </c>
      <c r="G4176" s="35"/>
      <c r="H4176" s="54"/>
      <c r="I4176" s="75"/>
    </row>
    <row r="4177" spans="2:9" hidden="1" outlineLevel="1">
      <c r="B4177" s="76"/>
      <c r="C4177" s="2" t="str">
        <f>IF((COUNTIF(C4181:C4183,"Show")+COUNTIF(C4188:C4189,"Show"))&gt;0,"Show","Hide")</f>
        <v>Show</v>
      </c>
      <c r="D4177" s="23" t="s">
        <v>117</v>
      </c>
      <c r="E4177" s="13"/>
      <c r="G4177" s="13"/>
    </row>
    <row r="4178" spans="2:9" hidden="1" outlineLevel="1">
      <c r="B4178" s="76"/>
      <c r="C4178" s="9" t="str">
        <f>C4177</f>
        <v>Show</v>
      </c>
      <c r="D4178" s="23"/>
      <c r="E4178" s="13">
        <v>1.1000000000000001</v>
      </c>
      <c r="F4178" s="11" t="s">
        <v>118</v>
      </c>
      <c r="G4178" s="13"/>
    </row>
    <row r="4179" spans="2:9" hidden="1" outlineLevel="1">
      <c r="B4179" s="76"/>
      <c r="C4179" s="9" t="str">
        <f>C4178</f>
        <v>Show</v>
      </c>
      <c r="D4179" s="23"/>
      <c r="E4179" s="13"/>
      <c r="F4179" s="70" t="s">
        <v>119</v>
      </c>
      <c r="G4179" s="18" t="s">
        <v>677</v>
      </c>
    </row>
    <row r="4180" spans="2:9" hidden="1" outlineLevel="1">
      <c r="B4180" s="76"/>
      <c r="C4180" s="9" t="str">
        <f>C4179</f>
        <v>Show</v>
      </c>
      <c r="D4180" s="23"/>
      <c r="E4180" s="13"/>
      <c r="F4180" s="70"/>
      <c r="G4180" s="78" t="s">
        <v>121</v>
      </c>
      <c r="H4180" s="79" t="s">
        <v>2301</v>
      </c>
    </row>
    <row r="4181" spans="2:9" hidden="1" outlineLevel="1">
      <c r="B4181" s="76"/>
      <c r="C4181" s="9" t="str">
        <f>IF(COUNTIF(C4182:C4183,"Show")&gt;0,"Show","Hide")</f>
        <v>Show</v>
      </c>
      <c r="D4181" s="23"/>
      <c r="E4181" s="13">
        <v>1.2</v>
      </c>
      <c r="F4181" s="71" t="s">
        <v>131</v>
      </c>
      <c r="G4181" s="78"/>
    </row>
    <row r="4182" spans="2:9" hidden="1" outlineLevel="1">
      <c r="B4182" s="76"/>
      <c r="C4182" t="str">
        <f>$D$5977</f>
        <v>Show</v>
      </c>
      <c r="D4182" s="23"/>
      <c r="E4182" s="13"/>
      <c r="F4182" s="70" t="s">
        <v>119</v>
      </c>
      <c r="G4182" s="12" t="s">
        <v>3464</v>
      </c>
    </row>
    <row r="4183" spans="2:9" hidden="1" outlineLevel="1">
      <c r="B4183" s="76"/>
      <c r="C4183" s="9" t="str">
        <f>C4182</f>
        <v>Show</v>
      </c>
      <c r="D4183" s="23"/>
      <c r="E4183" s="13"/>
      <c r="F4183" s="70"/>
      <c r="G4183" s="78" t="s">
        <v>121</v>
      </c>
      <c r="H4183" s="75" t="s">
        <v>2842</v>
      </c>
    </row>
    <row r="4184" spans="2:9" hidden="1" outlineLevel="1">
      <c r="B4184" s="76"/>
      <c r="C4184" s="9" t="str">
        <f>C4177</f>
        <v>Show</v>
      </c>
      <c r="D4184" s="23" t="s">
        <v>613</v>
      </c>
      <c r="E4184" s="13"/>
      <c r="G4184" s="13"/>
    </row>
    <row r="4185" spans="2:9" hidden="1" outlineLevel="1">
      <c r="B4185" s="76"/>
      <c r="C4185" s="9" t="str">
        <f>C4177</f>
        <v>Show</v>
      </c>
      <c r="D4185" s="23"/>
      <c r="E4185" s="12" t="s">
        <v>2703</v>
      </c>
      <c r="G4185" s="13"/>
    </row>
    <row r="4186" spans="2:9" hidden="1" outlineLevel="1">
      <c r="B4186" s="76"/>
      <c r="C4186" s="9" t="str">
        <f>C4177</f>
        <v>Show</v>
      </c>
      <c r="D4186" s="23" t="s">
        <v>187</v>
      </c>
      <c r="E4186" s="13"/>
      <c r="G4186" s="13"/>
    </row>
    <row r="4187" spans="2:9" hidden="1" outlineLevel="1">
      <c r="B4187" s="76"/>
      <c r="C4187" s="9" t="str">
        <f>C4177</f>
        <v>Show</v>
      </c>
      <c r="D4187" s="23"/>
      <c r="E4187" s="12" t="str">
        <f>IF(COUNTIF(C4188:C4189,"Show")&gt;0,"3.1 Execution Requirements","No EGC Requirements")</f>
        <v>3.1 Execution Requirements</v>
      </c>
      <c r="G4187" s="13"/>
    </row>
    <row r="4188" spans="2:9" hidden="1" outlineLevel="1">
      <c r="B4188" s="76"/>
      <c r="C4188" t="str">
        <f>$F$5977</f>
        <v>Show</v>
      </c>
      <c r="D4188" s="23"/>
      <c r="E4188" s="13"/>
      <c r="F4188" s="70" t="s">
        <v>119</v>
      </c>
      <c r="G4188" s="12" t="s">
        <v>3464</v>
      </c>
    </row>
    <row r="4189" spans="2:9" hidden="1" outlineLevel="1">
      <c r="B4189" s="76"/>
      <c r="C4189" s="9" t="str">
        <f>C4188</f>
        <v>Show</v>
      </c>
      <c r="D4189" s="23"/>
      <c r="E4189" s="13"/>
      <c r="G4189" s="78" t="s">
        <v>121</v>
      </c>
      <c r="H4189" s="75" t="s">
        <v>2843</v>
      </c>
    </row>
    <row r="4190" spans="2:9" hidden="1" outlineLevel="1">
      <c r="B4190" s="76"/>
      <c r="C4190" s="9" t="str">
        <f>C4177</f>
        <v>Show</v>
      </c>
    </row>
    <row r="4191" spans="2:9" collapsed="1">
      <c r="B4191" s="76"/>
      <c r="C4191" s="7" t="s">
        <v>116</v>
      </c>
      <c r="D4191" s="83"/>
      <c r="E4191" s="83"/>
      <c r="F4191" s="81"/>
      <c r="I4191" s="75"/>
    </row>
    <row r="4192" spans="2:9">
      <c r="B4192" s="76"/>
      <c r="C4192" s="7" t="s">
        <v>116</v>
      </c>
      <c r="D4192" s="38" t="s">
        <v>558</v>
      </c>
      <c r="E4192" s="45"/>
      <c r="F4192" s="46"/>
      <c r="G4192" s="39"/>
      <c r="H4192" s="41"/>
      <c r="I4192" s="75"/>
    </row>
    <row r="4193" spans="2:9">
      <c r="B4193" s="77"/>
      <c r="C4193" s="7" t="str">
        <f>C4194</f>
        <v>Show</v>
      </c>
      <c r="D4193" s="60" t="s">
        <v>2017</v>
      </c>
      <c r="E4193" s="60"/>
      <c r="F4193" s="56" t="s">
        <v>2018</v>
      </c>
      <c r="G4193" s="53"/>
      <c r="H4193" s="54"/>
      <c r="I4193" s="75"/>
    </row>
    <row r="4194" spans="2:9" hidden="1" outlineLevel="1">
      <c r="B4194" s="76"/>
      <c r="C4194" s="2" t="str">
        <f>IF((COUNTIF(C4198:C4200,"Show"))&gt;0,"Show","Hide")</f>
        <v>Show</v>
      </c>
      <c r="D4194" s="23" t="s">
        <v>117</v>
      </c>
      <c r="E4194" s="13"/>
      <c r="G4194" s="13"/>
    </row>
    <row r="4195" spans="2:9" hidden="1" outlineLevel="1">
      <c r="B4195" s="76"/>
      <c r="C4195" s="9" t="str">
        <f>C4194</f>
        <v>Show</v>
      </c>
      <c r="D4195" s="23"/>
      <c r="E4195" s="13">
        <v>1.1000000000000001</v>
      </c>
      <c r="F4195" s="11" t="s">
        <v>118</v>
      </c>
      <c r="G4195" s="13"/>
    </row>
    <row r="4196" spans="2:9" hidden="1" outlineLevel="1">
      <c r="B4196" s="76"/>
      <c r="C4196" s="9" t="str">
        <f>C4195</f>
        <v>Show</v>
      </c>
      <c r="D4196" s="23"/>
      <c r="E4196" s="13"/>
      <c r="F4196" s="70" t="s">
        <v>119</v>
      </c>
      <c r="G4196" s="18" t="s">
        <v>677</v>
      </c>
    </row>
    <row r="4197" spans="2:9" hidden="1" outlineLevel="1">
      <c r="B4197" s="76"/>
      <c r="C4197" s="9" t="str">
        <f>C4196</f>
        <v>Show</v>
      </c>
      <c r="D4197" s="23"/>
      <c r="E4197" s="13"/>
      <c r="F4197" s="70"/>
      <c r="G4197" s="78" t="s">
        <v>121</v>
      </c>
      <c r="H4197" s="79" t="s">
        <v>2301</v>
      </c>
    </row>
    <row r="4198" spans="2:9" hidden="1" outlineLevel="1">
      <c r="B4198" s="76"/>
      <c r="C4198" s="9" t="str">
        <f>IF(COUNTIF(C4199:C4200,"Show")&gt;0,"Show","Hide")</f>
        <v>Show</v>
      </c>
      <c r="D4198" s="23"/>
      <c r="E4198" s="13">
        <v>1.2</v>
      </c>
      <c r="F4198" s="71" t="s">
        <v>131</v>
      </c>
      <c r="G4198" s="78"/>
    </row>
    <row r="4199" spans="2:9" hidden="1" outlineLevel="1">
      <c r="B4199" s="76"/>
      <c r="C4199" t="str">
        <f>$D$5998</f>
        <v>Show</v>
      </c>
      <c r="D4199" s="23"/>
      <c r="E4199" s="13"/>
      <c r="F4199" s="70" t="s">
        <v>119</v>
      </c>
      <c r="G4199" s="12" t="s">
        <v>3465</v>
      </c>
    </row>
    <row r="4200" spans="2:9" hidden="1" outlineLevel="1">
      <c r="B4200" s="76"/>
      <c r="C4200" s="9" t="str">
        <f>C4199</f>
        <v>Show</v>
      </c>
      <c r="D4200" s="23"/>
      <c r="E4200" s="13"/>
      <c r="F4200" s="70"/>
      <c r="G4200" s="78" t="s">
        <v>121</v>
      </c>
      <c r="H4200" s="75" t="s">
        <v>2326</v>
      </c>
    </row>
    <row r="4201" spans="2:9" hidden="1" outlineLevel="1">
      <c r="B4201" s="76"/>
      <c r="C4201" s="9" t="str">
        <f>C4194</f>
        <v>Show</v>
      </c>
      <c r="D4201" s="23" t="s">
        <v>613</v>
      </c>
      <c r="E4201" s="13"/>
      <c r="G4201" s="13"/>
    </row>
    <row r="4202" spans="2:9" hidden="1" outlineLevel="1">
      <c r="B4202" s="76"/>
      <c r="C4202" s="9" t="str">
        <f>C4194</f>
        <v>Show</v>
      </c>
      <c r="D4202" s="23"/>
      <c r="E4202" s="12" t="s">
        <v>2703</v>
      </c>
      <c r="G4202" s="13"/>
    </row>
    <row r="4203" spans="2:9" hidden="1" outlineLevel="1">
      <c r="B4203" s="76"/>
      <c r="C4203" s="9" t="str">
        <f>C4194</f>
        <v>Show</v>
      </c>
      <c r="D4203" s="23" t="s">
        <v>187</v>
      </c>
      <c r="E4203" s="13"/>
      <c r="G4203" s="13"/>
    </row>
    <row r="4204" spans="2:9" hidden="1" outlineLevel="1">
      <c r="B4204" s="76"/>
      <c r="C4204" s="9" t="str">
        <f>C4194</f>
        <v>Show</v>
      </c>
      <c r="D4204" s="23"/>
      <c r="E4204" s="12" t="s">
        <v>2703</v>
      </c>
      <c r="G4204" s="13"/>
    </row>
    <row r="4205" spans="2:9" hidden="1" outlineLevel="1">
      <c r="B4205" s="76"/>
      <c r="C4205" s="9" t="str">
        <f>C4194</f>
        <v>Show</v>
      </c>
    </row>
    <row r="4206" spans="2:9" collapsed="1">
      <c r="B4206" s="23"/>
      <c r="C4206" s="2" t="str">
        <f>C4207</f>
        <v>Show</v>
      </c>
      <c r="D4206" s="60" t="s">
        <v>307</v>
      </c>
      <c r="E4206" s="60"/>
      <c r="F4206" s="56" t="s">
        <v>604</v>
      </c>
      <c r="G4206" s="53"/>
      <c r="H4206" s="54"/>
      <c r="I4206" s="75"/>
    </row>
    <row r="4207" spans="2:9" hidden="1" outlineLevel="1">
      <c r="B4207" s="76"/>
      <c r="C4207" s="2" t="str">
        <f>IF((COUNTIF(C4211:C4215,"Show")+COUNTIF(C4218:C4219,"Show")+COUNTIF(C4222:C4225,"Show"))&gt;0,"Show","Hide")</f>
        <v>Show</v>
      </c>
      <c r="D4207" s="23" t="s">
        <v>117</v>
      </c>
      <c r="E4207" s="13"/>
      <c r="G4207" s="13"/>
    </row>
    <row r="4208" spans="2:9" hidden="1" outlineLevel="1">
      <c r="B4208" s="76"/>
      <c r="C4208" s="9" t="str">
        <f>C4207</f>
        <v>Show</v>
      </c>
      <c r="D4208" s="23"/>
      <c r="E4208" s="13">
        <v>1.1000000000000001</v>
      </c>
      <c r="F4208" s="11" t="s">
        <v>118</v>
      </c>
      <c r="G4208" s="13"/>
    </row>
    <row r="4209" spans="2:8" hidden="1" outlineLevel="1">
      <c r="B4209" s="76"/>
      <c r="C4209" s="9" t="str">
        <f>C4208</f>
        <v>Show</v>
      </c>
      <c r="D4209" s="23"/>
      <c r="E4209" s="13"/>
      <c r="F4209" s="70" t="s">
        <v>119</v>
      </c>
      <c r="G4209" s="18" t="s">
        <v>677</v>
      </c>
    </row>
    <row r="4210" spans="2:8" hidden="1" outlineLevel="1">
      <c r="B4210" s="76"/>
      <c r="C4210" s="9" t="str">
        <f>C4209</f>
        <v>Show</v>
      </c>
      <c r="D4210" s="23"/>
      <c r="E4210" s="13"/>
      <c r="F4210" s="70"/>
      <c r="G4210" s="78" t="s">
        <v>121</v>
      </c>
      <c r="H4210" s="79" t="s">
        <v>2301</v>
      </c>
    </row>
    <row r="4211" spans="2:8" hidden="1" outlineLevel="1">
      <c r="B4211" s="76"/>
      <c r="C4211" s="9" t="str">
        <f>IF(COUNTIF(C4212:C4215,"Show")&gt;0,"Show","Hide")</f>
        <v>Show</v>
      </c>
      <c r="D4211" s="23"/>
      <c r="E4211" s="13">
        <v>1.2</v>
      </c>
      <c r="F4211" s="71" t="s">
        <v>131</v>
      </c>
      <c r="G4211" s="78"/>
    </row>
    <row r="4212" spans="2:8" hidden="1" outlineLevel="1">
      <c r="B4212" s="76"/>
      <c r="C4212" t="str">
        <f>$D$5959</f>
        <v>Show</v>
      </c>
      <c r="D4212" s="23"/>
      <c r="E4212" s="13"/>
      <c r="F4212" s="70" t="s">
        <v>119</v>
      </c>
      <c r="G4212" s="12" t="s">
        <v>3466</v>
      </c>
    </row>
    <row r="4213" spans="2:8" hidden="1" outlineLevel="1">
      <c r="B4213" s="76"/>
      <c r="C4213" s="9" t="str">
        <f>C4212</f>
        <v>Show</v>
      </c>
      <c r="D4213" s="23"/>
      <c r="E4213" s="13"/>
      <c r="F4213" s="70"/>
      <c r="G4213" s="78" t="s">
        <v>121</v>
      </c>
      <c r="H4213" s="75" t="s">
        <v>2857</v>
      </c>
    </row>
    <row r="4214" spans="2:8" hidden="1" outlineLevel="1">
      <c r="B4214" s="76"/>
      <c r="C4214" t="str">
        <f>$D$6002</f>
        <v>Show</v>
      </c>
      <c r="D4214" s="23"/>
      <c r="E4214" s="13"/>
      <c r="F4214" s="70" t="str">
        <f>CHAR(65+(COUNTIF(C$4212:C4213,"Show")/2))&amp;"."</f>
        <v>B.</v>
      </c>
      <c r="G4214" s="12" t="s">
        <v>3467</v>
      </c>
    </row>
    <row r="4215" spans="2:8" hidden="1" outlineLevel="1">
      <c r="B4215" s="76"/>
      <c r="C4215" s="9" t="str">
        <f>C4214</f>
        <v>Show</v>
      </c>
      <c r="D4215" s="23"/>
      <c r="E4215" s="13"/>
      <c r="F4215" s="70"/>
      <c r="G4215" s="78" t="s">
        <v>121</v>
      </c>
      <c r="H4215" s="75" t="s">
        <v>2860</v>
      </c>
    </row>
    <row r="4216" spans="2:8" hidden="1" outlineLevel="1">
      <c r="B4216" s="76"/>
      <c r="C4216" s="9" t="str">
        <f>C4207</f>
        <v>Show</v>
      </c>
      <c r="D4216" s="23" t="s">
        <v>613</v>
      </c>
      <c r="E4216" s="13"/>
      <c r="G4216" s="13"/>
    </row>
    <row r="4217" spans="2:8" hidden="1" outlineLevel="1">
      <c r="B4217" s="76"/>
      <c r="C4217" s="9" t="str">
        <f>C4207</f>
        <v>Show</v>
      </c>
      <c r="D4217" s="23"/>
      <c r="E4217" s="12" t="str">
        <f>IF(COUNTIF(C4218:C4219,"Show")&gt;0,"2.1 Product Requirements","No EGC Requirements")</f>
        <v>2.1 Product Requirements</v>
      </c>
      <c r="G4217" s="13"/>
    </row>
    <row r="4218" spans="2:8" hidden="1" outlineLevel="1">
      <c r="B4218" s="76"/>
      <c r="C4218" t="str">
        <f>$E$5959</f>
        <v>Show</v>
      </c>
      <c r="D4218" s="23"/>
      <c r="E4218" s="12"/>
      <c r="F4218" s="70" t="s">
        <v>119</v>
      </c>
      <c r="G4218" s="12" t="s">
        <v>3466</v>
      </c>
    </row>
    <row r="4219" spans="2:8" hidden="1" outlineLevel="1">
      <c r="B4219" s="76"/>
      <c r="C4219" s="9" t="str">
        <f>C4218</f>
        <v>Show</v>
      </c>
      <c r="D4219" s="23"/>
      <c r="E4219" s="12"/>
      <c r="G4219" s="30" t="s">
        <v>121</v>
      </c>
      <c r="H4219" s="75" t="s">
        <v>2858</v>
      </c>
    </row>
    <row r="4220" spans="2:8" hidden="1" outlineLevel="1">
      <c r="B4220" s="76"/>
      <c r="C4220" s="9" t="str">
        <f>C4207</f>
        <v>Show</v>
      </c>
      <c r="D4220" s="23" t="s">
        <v>187</v>
      </c>
      <c r="E4220" s="13"/>
      <c r="G4220" s="13"/>
    </row>
    <row r="4221" spans="2:8" hidden="1" outlineLevel="1">
      <c r="B4221" s="76"/>
      <c r="C4221" s="9" t="str">
        <f>C4207</f>
        <v>Show</v>
      </c>
      <c r="D4221" s="23"/>
      <c r="E4221" s="12" t="str">
        <f>IF(COUNTIF(C4222:C4225,"Show")&gt;0,"3.1 Execution Requirements","No EGC Requirements")</f>
        <v>3.1 Execution Requirements</v>
      </c>
      <c r="G4221" s="13"/>
    </row>
    <row r="4222" spans="2:8" hidden="1" outlineLevel="1">
      <c r="B4222" s="76"/>
      <c r="C4222" t="str">
        <f>$F$5959</f>
        <v>Show</v>
      </c>
      <c r="D4222" s="23"/>
      <c r="E4222" s="13"/>
      <c r="F4222" s="70" t="s">
        <v>119</v>
      </c>
      <c r="G4222" s="12" t="s">
        <v>3466</v>
      </c>
    </row>
    <row r="4223" spans="2:8" hidden="1" outlineLevel="1">
      <c r="B4223" s="76"/>
      <c r="C4223" s="9" t="str">
        <f>C4222</f>
        <v>Show</v>
      </c>
      <c r="D4223" s="23"/>
      <c r="E4223" s="13"/>
      <c r="G4223" s="78" t="s">
        <v>121</v>
      </c>
      <c r="H4223" s="75" t="s">
        <v>2859</v>
      </c>
    </row>
    <row r="4224" spans="2:8" hidden="1" outlineLevel="1">
      <c r="B4224" s="76"/>
      <c r="C4224" t="str">
        <f>$F$6002</f>
        <v>Show</v>
      </c>
      <c r="D4224" s="23"/>
      <c r="E4224" s="13"/>
      <c r="F4224" s="70" t="str">
        <f>CHAR(65+(COUNTIF(C$4222:C4223,"Show")/2))&amp;"."</f>
        <v>B.</v>
      </c>
      <c r="G4224" s="12" t="s">
        <v>3467</v>
      </c>
    </row>
    <row r="4225" spans="2:9" hidden="1" outlineLevel="1">
      <c r="B4225" s="76"/>
      <c r="C4225" s="9" t="str">
        <f>C4224</f>
        <v>Show</v>
      </c>
      <c r="D4225" s="23"/>
      <c r="E4225" s="13"/>
      <c r="G4225" s="78" t="s">
        <v>121</v>
      </c>
      <c r="H4225" s="75" t="s">
        <v>2861</v>
      </c>
    </row>
    <row r="4226" spans="2:9" hidden="1" outlineLevel="1">
      <c r="B4226" s="76"/>
      <c r="C4226" s="9" t="str">
        <f>C4207</f>
        <v>Show</v>
      </c>
    </row>
    <row r="4227" spans="2:9" collapsed="1">
      <c r="B4227" s="23"/>
      <c r="C4227" s="2" t="str">
        <f>C4228</f>
        <v>Show</v>
      </c>
      <c r="D4227" s="55" t="s">
        <v>308</v>
      </c>
      <c r="E4227" s="55"/>
      <c r="F4227" s="57" t="s">
        <v>1704</v>
      </c>
      <c r="G4227" s="53"/>
      <c r="H4227" s="54"/>
      <c r="I4227" s="75"/>
    </row>
    <row r="4228" spans="2:9" hidden="1" outlineLevel="1">
      <c r="B4228" s="76"/>
      <c r="C4228" s="2" t="str">
        <f>IF((COUNTIF(C4232:C4234,"Show")+COUNTIF(C4237:C4238,"Show")+COUNTIF(C4241:C4242,"Show"))&gt;0,"Show","Hide")</f>
        <v>Show</v>
      </c>
      <c r="D4228" s="23" t="s">
        <v>117</v>
      </c>
      <c r="E4228" s="13"/>
      <c r="G4228" s="13"/>
    </row>
    <row r="4229" spans="2:9" hidden="1" outlineLevel="1">
      <c r="B4229" s="76"/>
      <c r="C4229" s="9" t="str">
        <f>C4228</f>
        <v>Show</v>
      </c>
      <c r="D4229" s="23"/>
      <c r="E4229" s="13">
        <v>1.1000000000000001</v>
      </c>
      <c r="F4229" s="11" t="s">
        <v>118</v>
      </c>
      <c r="G4229" s="13"/>
    </row>
    <row r="4230" spans="2:9" hidden="1" outlineLevel="1">
      <c r="B4230" s="76"/>
      <c r="C4230" s="9" t="str">
        <f>C4229</f>
        <v>Show</v>
      </c>
      <c r="D4230" s="23"/>
      <c r="E4230" s="13"/>
      <c r="F4230" s="70" t="s">
        <v>119</v>
      </c>
      <c r="G4230" s="18" t="s">
        <v>677</v>
      </c>
    </row>
    <row r="4231" spans="2:9" hidden="1" outlineLevel="1">
      <c r="B4231" s="76"/>
      <c r="C4231" s="9" t="str">
        <f>C4230</f>
        <v>Show</v>
      </c>
      <c r="D4231" s="23"/>
      <c r="E4231" s="13"/>
      <c r="F4231" s="70"/>
      <c r="G4231" s="78" t="s">
        <v>121</v>
      </c>
      <c r="H4231" s="79" t="s">
        <v>2301</v>
      </c>
    </row>
    <row r="4232" spans="2:9" hidden="1" outlineLevel="1">
      <c r="B4232" s="76"/>
      <c r="C4232" s="9" t="str">
        <f>IF(COUNTIF(C4233:C4234,"Show")&gt;0,"Show","Hide")</f>
        <v>Show</v>
      </c>
      <c r="D4232" s="23"/>
      <c r="E4232" s="13">
        <v>1.2</v>
      </c>
      <c r="F4232" s="71" t="s">
        <v>131</v>
      </c>
      <c r="G4232" s="78"/>
    </row>
    <row r="4233" spans="2:9" hidden="1" outlineLevel="1">
      <c r="B4233" s="76"/>
      <c r="C4233" t="str">
        <f>$D$5960</f>
        <v>Show</v>
      </c>
      <c r="D4233" s="23"/>
      <c r="E4233" s="13"/>
      <c r="F4233" s="70" t="s">
        <v>119</v>
      </c>
      <c r="G4233" s="12" t="s">
        <v>3468</v>
      </c>
    </row>
    <row r="4234" spans="2:9" hidden="1" outlineLevel="1">
      <c r="B4234" s="76"/>
      <c r="C4234" s="9" t="str">
        <f>C4233</f>
        <v>Show</v>
      </c>
      <c r="D4234" s="23"/>
      <c r="E4234" s="13"/>
      <c r="F4234" s="70"/>
      <c r="G4234" s="78" t="s">
        <v>121</v>
      </c>
      <c r="H4234" s="75" t="s">
        <v>2862</v>
      </c>
    </row>
    <row r="4235" spans="2:9" hidden="1" outlineLevel="1">
      <c r="B4235" s="76"/>
      <c r="C4235" s="9" t="str">
        <f>C4228</f>
        <v>Show</v>
      </c>
      <c r="D4235" s="23" t="s">
        <v>613</v>
      </c>
      <c r="E4235" s="13"/>
      <c r="G4235" s="13"/>
    </row>
    <row r="4236" spans="2:9" hidden="1" outlineLevel="1">
      <c r="B4236" s="76"/>
      <c r="C4236" s="9" t="str">
        <f>C4228</f>
        <v>Show</v>
      </c>
      <c r="D4236" s="23"/>
      <c r="E4236" s="12" t="str">
        <f>IF(COUNTIF(C4237:C4238,"Show")&gt;0,"2.1 Product Requirements","No EGC Requirements")</f>
        <v>2.1 Product Requirements</v>
      </c>
      <c r="G4236" s="13"/>
    </row>
    <row r="4237" spans="2:9" hidden="1" outlineLevel="1">
      <c r="B4237" s="76"/>
      <c r="C4237" t="str">
        <f>$E$5960</f>
        <v>Show</v>
      </c>
      <c r="D4237" s="23"/>
      <c r="E4237" s="12"/>
      <c r="F4237" s="70" t="s">
        <v>119</v>
      </c>
      <c r="G4237" s="12" t="s">
        <v>3468</v>
      </c>
    </row>
    <row r="4238" spans="2:9" hidden="1" outlineLevel="1">
      <c r="B4238" s="76"/>
      <c r="C4238" s="9" t="str">
        <f>C4237</f>
        <v>Show</v>
      </c>
      <c r="D4238" s="23"/>
      <c r="E4238" s="12"/>
      <c r="G4238" s="30" t="s">
        <v>121</v>
      </c>
      <c r="H4238" s="75" t="s">
        <v>2863</v>
      </c>
    </row>
    <row r="4239" spans="2:9" hidden="1" outlineLevel="1">
      <c r="B4239" s="76"/>
      <c r="C4239" s="9" t="str">
        <f>C4228</f>
        <v>Show</v>
      </c>
      <c r="D4239" s="23" t="s">
        <v>187</v>
      </c>
      <c r="E4239" s="13"/>
      <c r="G4239" s="13"/>
    </row>
    <row r="4240" spans="2:9" hidden="1" outlineLevel="1">
      <c r="B4240" s="76"/>
      <c r="C4240" s="9" t="str">
        <f>C4228</f>
        <v>Show</v>
      </c>
      <c r="D4240" s="23"/>
      <c r="E4240" s="12" t="str">
        <f>IF(COUNTIF(C4241:C4242,"Show")&gt;0,"3.1 Execution Requirements","No EGC Requirements")</f>
        <v>3.1 Execution Requirements</v>
      </c>
      <c r="G4240" s="13"/>
    </row>
    <row r="4241" spans="2:9" hidden="1" outlineLevel="1">
      <c r="B4241" s="76"/>
      <c r="C4241" t="str">
        <f>$F$5960</f>
        <v>Show</v>
      </c>
      <c r="D4241" s="23"/>
      <c r="E4241" s="13"/>
      <c r="F4241" s="70" t="s">
        <v>119</v>
      </c>
      <c r="G4241" s="12" t="s">
        <v>3468</v>
      </c>
    </row>
    <row r="4242" spans="2:9" hidden="1" outlineLevel="1">
      <c r="B4242" s="76"/>
      <c r="C4242" s="9" t="str">
        <f>C4241</f>
        <v>Show</v>
      </c>
      <c r="D4242" s="23"/>
      <c r="E4242" s="13"/>
      <c r="G4242" s="78" t="s">
        <v>121</v>
      </c>
      <c r="H4242" s="75" t="s">
        <v>2864</v>
      </c>
    </row>
    <row r="4243" spans="2:9" hidden="1" outlineLevel="1">
      <c r="B4243" s="76"/>
      <c r="C4243" s="9" t="str">
        <f>C4228</f>
        <v>Show</v>
      </c>
    </row>
    <row r="4244" spans="2:9" collapsed="1">
      <c r="B4244" s="23"/>
      <c r="C4244" s="2" t="str">
        <f>C4245</f>
        <v>Show</v>
      </c>
      <c r="D4244" s="55" t="s">
        <v>1706</v>
      </c>
      <c r="E4244" s="55"/>
      <c r="F4244" s="57" t="s">
        <v>1705</v>
      </c>
      <c r="G4244" s="53"/>
      <c r="H4244" s="54"/>
      <c r="I4244" s="75"/>
    </row>
    <row r="4245" spans="2:9" hidden="1" outlineLevel="1">
      <c r="B4245" s="76"/>
      <c r="C4245" s="2" t="str">
        <f>IF((COUNTIF(C4249:C4251,"Show")+COUNTIF(C4254:C4255,"Show")+COUNTIF(C4258:C4259,"Show"))&gt;0,"Show","Hide")</f>
        <v>Show</v>
      </c>
      <c r="D4245" s="23" t="s">
        <v>117</v>
      </c>
      <c r="E4245" s="13"/>
      <c r="G4245" s="13"/>
    </row>
    <row r="4246" spans="2:9" hidden="1" outlineLevel="1">
      <c r="B4246" s="76"/>
      <c r="C4246" s="9" t="str">
        <f>C4245</f>
        <v>Show</v>
      </c>
      <c r="D4246" s="23"/>
      <c r="E4246" s="13">
        <v>1.1000000000000001</v>
      </c>
      <c r="F4246" s="11" t="s">
        <v>118</v>
      </c>
      <c r="G4246" s="13"/>
    </row>
    <row r="4247" spans="2:9" hidden="1" outlineLevel="1">
      <c r="B4247" s="76"/>
      <c r="C4247" s="9" t="str">
        <f>C4246</f>
        <v>Show</v>
      </c>
      <c r="D4247" s="23"/>
      <c r="E4247" s="13"/>
      <c r="F4247" s="70" t="s">
        <v>119</v>
      </c>
      <c r="G4247" s="18" t="s">
        <v>677</v>
      </c>
    </row>
    <row r="4248" spans="2:9" hidden="1" outlineLevel="1">
      <c r="B4248" s="76"/>
      <c r="C4248" s="9" t="str">
        <f>C4247</f>
        <v>Show</v>
      </c>
      <c r="D4248" s="23"/>
      <c r="E4248" s="13"/>
      <c r="F4248" s="70"/>
      <c r="G4248" s="78" t="s">
        <v>121</v>
      </c>
      <c r="H4248" s="79" t="s">
        <v>2301</v>
      </c>
    </row>
    <row r="4249" spans="2:9" hidden="1" outlineLevel="1">
      <c r="B4249" s="76"/>
      <c r="C4249" s="9" t="str">
        <f>IF(COUNTIF(C4250:C4251,"Show")&gt;0,"Show","Hide")</f>
        <v>Show</v>
      </c>
      <c r="D4249" s="23"/>
      <c r="E4249" s="13">
        <v>1.2</v>
      </c>
      <c r="F4249" s="71" t="s">
        <v>131</v>
      </c>
      <c r="G4249" s="78"/>
    </row>
    <row r="4250" spans="2:9" hidden="1" outlineLevel="1">
      <c r="B4250" s="76"/>
      <c r="C4250" t="str">
        <f>$D$5960</f>
        <v>Show</v>
      </c>
      <c r="D4250" s="23"/>
      <c r="E4250" s="13"/>
      <c r="F4250" s="70" t="s">
        <v>119</v>
      </c>
      <c r="G4250" s="12" t="s">
        <v>3468</v>
      </c>
    </row>
    <row r="4251" spans="2:9" hidden="1" outlineLevel="1">
      <c r="B4251" s="76"/>
      <c r="C4251" s="9" t="str">
        <f>C4250</f>
        <v>Show</v>
      </c>
      <c r="D4251" s="23"/>
      <c r="E4251" s="13"/>
      <c r="F4251" s="70"/>
      <c r="G4251" s="78" t="s">
        <v>121</v>
      </c>
      <c r="H4251" s="75" t="s">
        <v>2862</v>
      </c>
    </row>
    <row r="4252" spans="2:9" hidden="1" outlineLevel="1">
      <c r="B4252" s="76"/>
      <c r="C4252" s="9" t="str">
        <f>C4245</f>
        <v>Show</v>
      </c>
      <c r="D4252" s="23" t="s">
        <v>613</v>
      </c>
      <c r="E4252" s="13"/>
      <c r="G4252" s="13"/>
    </row>
    <row r="4253" spans="2:9" hidden="1" outlineLevel="1">
      <c r="B4253" s="76"/>
      <c r="C4253" s="9" t="str">
        <f>C4245</f>
        <v>Show</v>
      </c>
      <c r="D4253" s="23"/>
      <c r="E4253" s="12" t="str">
        <f>IF(COUNTIF(C4254:C4255,"Show")&gt;0,"2.1 Product Requirements","No EGC Requirements")</f>
        <v>2.1 Product Requirements</v>
      </c>
      <c r="G4253" s="13"/>
    </row>
    <row r="4254" spans="2:9" hidden="1" outlineLevel="1">
      <c r="B4254" s="76"/>
      <c r="C4254" t="str">
        <f>$E$5960</f>
        <v>Show</v>
      </c>
      <c r="D4254" s="23"/>
      <c r="E4254" s="12"/>
      <c r="F4254" s="70" t="s">
        <v>119</v>
      </c>
      <c r="G4254" s="12" t="s">
        <v>3468</v>
      </c>
    </row>
    <row r="4255" spans="2:9" hidden="1" outlineLevel="1">
      <c r="B4255" s="76"/>
      <c r="C4255" s="9" t="str">
        <f>C4254</f>
        <v>Show</v>
      </c>
      <c r="D4255" s="23"/>
      <c r="E4255" s="12"/>
      <c r="G4255" s="30" t="s">
        <v>121</v>
      </c>
      <c r="H4255" s="75" t="s">
        <v>2863</v>
      </c>
    </row>
    <row r="4256" spans="2:9" hidden="1" outlineLevel="1">
      <c r="B4256" s="76"/>
      <c r="C4256" s="9" t="str">
        <f>C4245</f>
        <v>Show</v>
      </c>
      <c r="D4256" s="23" t="s">
        <v>187</v>
      </c>
      <c r="E4256" s="13"/>
      <c r="G4256" s="13"/>
    </row>
    <row r="4257" spans="2:9" hidden="1" outlineLevel="1">
      <c r="B4257" s="76"/>
      <c r="C4257" s="9" t="str">
        <f>C4245</f>
        <v>Show</v>
      </c>
      <c r="D4257" s="23"/>
      <c r="E4257" s="12" t="str">
        <f>IF(COUNTIF(C4258:C4259,"Show")&gt;0,"3.1 Execution Requirements","No EGC Requirements")</f>
        <v>3.1 Execution Requirements</v>
      </c>
      <c r="G4257" s="13"/>
    </row>
    <row r="4258" spans="2:9" hidden="1" outlineLevel="1">
      <c r="B4258" s="76"/>
      <c r="C4258" t="str">
        <f>$F$5960</f>
        <v>Show</v>
      </c>
      <c r="D4258" s="23"/>
      <c r="E4258" s="13"/>
      <c r="F4258" s="70" t="s">
        <v>119</v>
      </c>
      <c r="G4258" s="12" t="s">
        <v>3468</v>
      </c>
    </row>
    <row r="4259" spans="2:9" hidden="1" outlineLevel="1">
      <c r="B4259" s="76"/>
      <c r="C4259" s="9" t="str">
        <f>C4258</f>
        <v>Show</v>
      </c>
      <c r="D4259" s="23"/>
      <c r="E4259" s="13"/>
      <c r="G4259" s="78" t="s">
        <v>121</v>
      </c>
      <c r="H4259" s="75" t="s">
        <v>2864</v>
      </c>
    </row>
    <row r="4260" spans="2:9" hidden="1" outlineLevel="1">
      <c r="B4260" s="76"/>
      <c r="C4260" s="9" t="str">
        <f>C4245</f>
        <v>Show</v>
      </c>
    </row>
    <row r="4261" spans="2:9" collapsed="1">
      <c r="B4261" s="23"/>
      <c r="C4261" s="2" t="str">
        <f>C4262</f>
        <v>Show</v>
      </c>
      <c r="D4261" s="60" t="s">
        <v>1238</v>
      </c>
      <c r="E4261" s="55"/>
      <c r="F4261" s="56" t="s">
        <v>598</v>
      </c>
      <c r="G4261" s="53"/>
      <c r="H4261" s="54"/>
      <c r="I4261" s="75"/>
    </row>
    <row r="4262" spans="2:9" hidden="1" outlineLevel="1">
      <c r="B4262" s="76"/>
      <c r="C4262" s="2" t="str">
        <f>IF((COUNTIF(C4266:C4282,"Show")+COUNTIF(C4285:C4298,"Show")+COUNTIF(C4301:C4314,"Show"))&gt;0,"Show","Hide")</f>
        <v>Show</v>
      </c>
      <c r="D4262" s="23" t="s">
        <v>117</v>
      </c>
      <c r="E4262" s="13"/>
      <c r="G4262" s="13"/>
    </row>
    <row r="4263" spans="2:9" hidden="1" outlineLevel="1">
      <c r="B4263" s="76"/>
      <c r="C4263" s="9" t="str">
        <f>C4262</f>
        <v>Show</v>
      </c>
      <c r="D4263" s="23"/>
      <c r="E4263" s="13">
        <v>1.1000000000000001</v>
      </c>
      <c r="F4263" s="11" t="s">
        <v>118</v>
      </c>
      <c r="G4263" s="13"/>
    </row>
    <row r="4264" spans="2:9" hidden="1" outlineLevel="1">
      <c r="B4264" s="76"/>
      <c r="C4264" s="9" t="str">
        <f>C4263</f>
        <v>Show</v>
      </c>
      <c r="D4264" s="23"/>
      <c r="E4264" s="13"/>
      <c r="F4264" s="70" t="s">
        <v>119</v>
      </c>
      <c r="G4264" s="18" t="s">
        <v>677</v>
      </c>
    </row>
    <row r="4265" spans="2:9" hidden="1" outlineLevel="1">
      <c r="B4265" s="76"/>
      <c r="C4265" s="9" t="str">
        <f>C4264</f>
        <v>Show</v>
      </c>
      <c r="D4265" s="23"/>
      <c r="E4265" s="13"/>
      <c r="F4265" s="70"/>
      <c r="G4265" s="78" t="s">
        <v>121</v>
      </c>
      <c r="H4265" s="79" t="s">
        <v>2301</v>
      </c>
    </row>
    <row r="4266" spans="2:9" hidden="1" outlineLevel="1">
      <c r="B4266" s="76"/>
      <c r="C4266" s="9" t="str">
        <f>IF(COUNTIF(C4267:C4282,"Show")&gt;0,"Show","Hide")</f>
        <v>Show</v>
      </c>
      <c r="D4266" s="23"/>
      <c r="E4266" s="13">
        <v>1.2</v>
      </c>
      <c r="F4266" s="71" t="s">
        <v>131</v>
      </c>
      <c r="G4266" s="78"/>
    </row>
    <row r="4267" spans="2:9" hidden="1" outlineLevel="1">
      <c r="B4267" s="76"/>
      <c r="C4267" t="str">
        <f>$D$5954</f>
        <v>Show</v>
      </c>
      <c r="D4267" s="23"/>
      <c r="E4267" s="13"/>
      <c r="F4267" s="70" t="s">
        <v>119</v>
      </c>
      <c r="G4267" s="12" t="s">
        <v>3439</v>
      </c>
    </row>
    <row r="4268" spans="2:9" hidden="1" outlineLevel="1">
      <c r="B4268" s="76"/>
      <c r="C4268" s="9" t="str">
        <f>C4267</f>
        <v>Show</v>
      </c>
      <c r="D4268" s="23"/>
      <c r="E4268" s="13"/>
      <c r="F4268" s="70"/>
      <c r="G4268" s="78" t="s">
        <v>121</v>
      </c>
      <c r="H4268" s="75" t="s">
        <v>2547</v>
      </c>
    </row>
    <row r="4269" spans="2:9" hidden="1" outlineLevel="1">
      <c r="B4269" s="76"/>
      <c r="C4269" t="str">
        <f>$D$5956</f>
        <v>Show</v>
      </c>
      <c r="D4269" s="23"/>
      <c r="E4269" s="13"/>
      <c r="F4269" s="70" t="str">
        <f>CHAR(65+(COUNTIF(C$4267:C4268,"Show")/2))&amp;"."</f>
        <v>B.</v>
      </c>
      <c r="G4269" s="12" t="s">
        <v>3469</v>
      </c>
    </row>
    <row r="4270" spans="2:9" hidden="1" outlineLevel="1">
      <c r="B4270" s="76"/>
      <c r="C4270" s="9" t="str">
        <f>C4269</f>
        <v>Show</v>
      </c>
      <c r="D4270" s="23"/>
      <c r="E4270" s="13"/>
      <c r="F4270" s="70"/>
      <c r="G4270" s="78" t="s">
        <v>121</v>
      </c>
      <c r="H4270" s="75" t="s">
        <v>2865</v>
      </c>
    </row>
    <row r="4271" spans="2:9" hidden="1" outlineLevel="1">
      <c r="B4271" s="76"/>
      <c r="C4271" t="str">
        <f>$D$5957</f>
        <v>Show</v>
      </c>
      <c r="D4271" s="23"/>
      <c r="E4271" s="13"/>
      <c r="F4271" s="70" t="str">
        <f>CHAR(65+(COUNTIF(C$4267:C4270,"Show")/2))&amp;"."</f>
        <v>C.</v>
      </c>
      <c r="G4271" s="12" t="s">
        <v>3470</v>
      </c>
    </row>
    <row r="4272" spans="2:9" hidden="1" outlineLevel="1">
      <c r="B4272" s="76"/>
      <c r="C4272" s="9" t="str">
        <f>C4271</f>
        <v>Show</v>
      </c>
      <c r="D4272" s="23"/>
      <c r="E4272" s="13"/>
      <c r="F4272" s="70"/>
      <c r="G4272" s="78" t="s">
        <v>121</v>
      </c>
      <c r="H4272" s="75" t="s">
        <v>2866</v>
      </c>
    </row>
    <row r="4273" spans="2:8" hidden="1" outlineLevel="1">
      <c r="B4273" s="76"/>
      <c r="C4273" t="str">
        <f>$D$5958</f>
        <v>Show</v>
      </c>
      <c r="D4273" s="23"/>
      <c r="E4273" s="13"/>
      <c r="F4273" s="70" t="str">
        <f>CHAR(65+(COUNTIF(C$4267:C4272,"Show")/2))&amp;"."</f>
        <v>D.</v>
      </c>
      <c r="G4273" s="12" t="s">
        <v>3403</v>
      </c>
    </row>
    <row r="4274" spans="2:8" hidden="1" outlineLevel="1">
      <c r="B4274" s="76"/>
      <c r="C4274" s="9" t="str">
        <f>C4273</f>
        <v>Show</v>
      </c>
      <c r="D4274" s="23"/>
      <c r="E4274" s="13"/>
      <c r="F4274" s="70"/>
      <c r="G4274" s="78" t="s">
        <v>121</v>
      </c>
      <c r="H4274" s="75" t="s">
        <v>2867</v>
      </c>
    </row>
    <row r="4275" spans="2:8" hidden="1" outlineLevel="1">
      <c r="B4275" s="76"/>
      <c r="C4275" t="str">
        <f>$D$5959</f>
        <v>Show</v>
      </c>
      <c r="D4275" s="23"/>
      <c r="E4275" s="13"/>
      <c r="F4275" s="70" t="str">
        <f>CHAR(65+(COUNTIF(C$4267:C4274,"Show")/2))&amp;"."</f>
        <v>E.</v>
      </c>
      <c r="G4275" s="12" t="s">
        <v>3466</v>
      </c>
    </row>
    <row r="4276" spans="2:8" hidden="1" outlineLevel="1">
      <c r="B4276" s="76"/>
      <c r="C4276" s="9" t="str">
        <f>C4275</f>
        <v>Show</v>
      </c>
      <c r="D4276" s="23"/>
      <c r="E4276" s="13"/>
      <c r="F4276" s="70"/>
      <c r="G4276" s="78" t="s">
        <v>121</v>
      </c>
      <c r="H4276" s="75" t="s">
        <v>2857</v>
      </c>
    </row>
    <row r="4277" spans="2:8" hidden="1" outlineLevel="1">
      <c r="B4277" s="76"/>
      <c r="C4277" t="str">
        <f>$D$5960</f>
        <v>Show</v>
      </c>
      <c r="D4277" s="23"/>
      <c r="E4277" s="13"/>
      <c r="F4277" s="70" t="str">
        <f>CHAR(65+(COUNTIF(C$4267:C4276,"Show")/2))&amp;"."</f>
        <v>F.</v>
      </c>
      <c r="G4277" s="12" t="s">
        <v>3468</v>
      </c>
    </row>
    <row r="4278" spans="2:8" hidden="1" outlineLevel="1">
      <c r="B4278" s="76"/>
      <c r="C4278" s="9" t="str">
        <f>C4277</f>
        <v>Show</v>
      </c>
      <c r="D4278" s="23"/>
      <c r="E4278" s="13"/>
      <c r="F4278" s="70"/>
      <c r="G4278" s="78" t="s">
        <v>121</v>
      </c>
      <c r="H4278" s="75" t="s">
        <v>2862</v>
      </c>
    </row>
    <row r="4279" spans="2:8" hidden="1" outlineLevel="1">
      <c r="B4279" s="76"/>
      <c r="C4279" t="str">
        <f>$D$5962</f>
        <v>Show</v>
      </c>
      <c r="D4279" s="23"/>
      <c r="E4279" s="13"/>
      <c r="F4279" s="70" t="str">
        <f>CHAR(65+(COUNTIF(C$4268:C4278,"Show")/2))&amp;"."</f>
        <v>F.</v>
      </c>
      <c r="G4279" s="12" t="s">
        <v>3471</v>
      </c>
    </row>
    <row r="4280" spans="2:8" hidden="1" outlineLevel="1">
      <c r="B4280" s="76"/>
      <c r="C4280" s="9" t="str">
        <f>C4279</f>
        <v>Show</v>
      </c>
      <c r="D4280" s="23"/>
      <c r="E4280" s="13"/>
      <c r="F4280" s="70"/>
      <c r="G4280" s="78" t="s">
        <v>121</v>
      </c>
      <c r="H4280" s="75" t="s">
        <v>2868</v>
      </c>
    </row>
    <row r="4281" spans="2:8" hidden="1" outlineLevel="1">
      <c r="B4281" s="76"/>
      <c r="C4281" t="str">
        <f>$D$5964</f>
        <v>Show</v>
      </c>
      <c r="D4281" s="23"/>
      <c r="E4281" s="13"/>
      <c r="F4281" s="70" t="str">
        <f>CHAR(65+(COUNTIF(C$4268:C4280,"Show")/2))&amp;"."</f>
        <v>G.</v>
      </c>
      <c r="G4281" s="12" t="s">
        <v>3410</v>
      </c>
    </row>
    <row r="4282" spans="2:8" hidden="1" outlineLevel="1">
      <c r="B4282" s="76"/>
      <c r="C4282" s="9" t="str">
        <f>C4281</f>
        <v>Show</v>
      </c>
      <c r="D4282" s="23"/>
      <c r="E4282" s="13"/>
      <c r="F4282" s="70"/>
      <c r="G4282" s="78" t="s">
        <v>121</v>
      </c>
      <c r="H4282" s="75" t="s">
        <v>2335</v>
      </c>
    </row>
    <row r="4283" spans="2:8" hidden="1" outlineLevel="1">
      <c r="B4283" s="76"/>
      <c r="C4283" s="9" t="str">
        <f>C4262</f>
        <v>Show</v>
      </c>
      <c r="D4283" s="23" t="s">
        <v>613</v>
      </c>
      <c r="E4283" s="13"/>
      <c r="G4283" s="13"/>
    </row>
    <row r="4284" spans="2:8" hidden="1" outlineLevel="1">
      <c r="B4284" s="76"/>
      <c r="C4284" s="9" t="str">
        <f>C4262</f>
        <v>Show</v>
      </c>
      <c r="D4284" s="23"/>
      <c r="E4284" s="12" t="str">
        <f>IF(COUNTIF(C4285:C4298,"Show")&gt;0,"2.1 Product Requirements","No EGC Requirements")</f>
        <v>2.1 Product Requirements</v>
      </c>
      <c r="G4284" s="13"/>
    </row>
    <row r="4285" spans="2:8" hidden="1" outlineLevel="1">
      <c r="B4285" s="76"/>
      <c r="C4285" t="str">
        <f>$E$5954</f>
        <v>Show</v>
      </c>
      <c r="D4285" s="23"/>
      <c r="E4285" s="12"/>
      <c r="F4285" s="70" t="s">
        <v>119</v>
      </c>
      <c r="G4285" s="12" t="s">
        <v>3439</v>
      </c>
    </row>
    <row r="4286" spans="2:8" hidden="1" outlineLevel="1">
      <c r="B4286" s="76"/>
      <c r="C4286" s="9" t="str">
        <f>C4285</f>
        <v>Show</v>
      </c>
      <c r="D4286" s="23"/>
      <c r="E4286" s="12"/>
      <c r="G4286" s="30" t="s">
        <v>121</v>
      </c>
      <c r="H4286" s="75" t="s">
        <v>2549</v>
      </c>
    </row>
    <row r="4287" spans="2:8" hidden="1" outlineLevel="1">
      <c r="B4287" s="76"/>
      <c r="C4287" t="str">
        <f>$E$5956</f>
        <v>Show</v>
      </c>
      <c r="D4287" s="23"/>
      <c r="E4287" s="12"/>
      <c r="F4287" s="70" t="str">
        <f>CHAR(65+(COUNTIF(C$4285:C4286,"Show")/2))&amp;"."</f>
        <v>B.</v>
      </c>
      <c r="G4287" s="12" t="s">
        <v>3469</v>
      </c>
    </row>
    <row r="4288" spans="2:8" hidden="1" outlineLevel="1">
      <c r="B4288" s="76"/>
      <c r="C4288" s="9" t="str">
        <f>C4287</f>
        <v>Show</v>
      </c>
      <c r="D4288" s="23"/>
      <c r="E4288" s="12"/>
      <c r="G4288" s="30" t="s">
        <v>121</v>
      </c>
      <c r="H4288" s="75" t="s">
        <v>2869</v>
      </c>
    </row>
    <row r="4289" spans="2:8" hidden="1" outlineLevel="1">
      <c r="B4289" s="76"/>
      <c r="C4289" t="str">
        <f>$E$5957</f>
        <v>Show</v>
      </c>
      <c r="D4289" s="23"/>
      <c r="E4289" s="12"/>
      <c r="F4289" s="70" t="str">
        <f>CHAR(65+(COUNTIF(C$4285:C4288,"Show")/2))&amp;"."</f>
        <v>C.</v>
      </c>
      <c r="G4289" s="12" t="s">
        <v>3470</v>
      </c>
    </row>
    <row r="4290" spans="2:8" hidden="1" outlineLevel="1">
      <c r="B4290" s="76"/>
      <c r="C4290" s="9" t="str">
        <f>C4289</f>
        <v>Show</v>
      </c>
      <c r="D4290" s="23"/>
      <c r="E4290" s="12"/>
      <c r="G4290" s="30" t="s">
        <v>121</v>
      </c>
      <c r="H4290" s="75" t="s">
        <v>2870</v>
      </c>
    </row>
    <row r="4291" spans="2:8" hidden="1" outlineLevel="1">
      <c r="B4291" s="76"/>
      <c r="C4291" t="str">
        <f>$E$5958</f>
        <v>Show</v>
      </c>
      <c r="D4291" s="23"/>
      <c r="E4291" s="12"/>
      <c r="F4291" s="70" t="str">
        <f>CHAR(65+(COUNTIF(C$4285:C4290,"Show")/2))&amp;"."</f>
        <v>D.</v>
      </c>
      <c r="G4291" s="12" t="s">
        <v>3403</v>
      </c>
    </row>
    <row r="4292" spans="2:8" hidden="1" outlineLevel="1">
      <c r="B4292" s="76"/>
      <c r="C4292" s="9" t="str">
        <f>C4291</f>
        <v>Show</v>
      </c>
      <c r="D4292" s="23"/>
      <c r="E4292" s="12"/>
      <c r="G4292" s="30" t="s">
        <v>121</v>
      </c>
      <c r="H4292" s="75" t="s">
        <v>2871</v>
      </c>
    </row>
    <row r="4293" spans="2:8" hidden="1" outlineLevel="1">
      <c r="B4293" s="76"/>
      <c r="C4293" t="str">
        <f>$E$5960</f>
        <v>Show</v>
      </c>
      <c r="D4293" s="23"/>
      <c r="E4293" s="12"/>
      <c r="F4293" s="70" t="str">
        <f>CHAR(65+(COUNTIF(C$4285:C4292,"Show")/2))&amp;"."</f>
        <v>E.</v>
      </c>
      <c r="G4293" s="12" t="s">
        <v>3468</v>
      </c>
    </row>
    <row r="4294" spans="2:8" hidden="1" outlineLevel="1">
      <c r="B4294" s="76"/>
      <c r="C4294" s="9" t="str">
        <f>C4293</f>
        <v>Show</v>
      </c>
      <c r="D4294" s="23"/>
      <c r="E4294" s="12"/>
      <c r="G4294" s="30" t="s">
        <v>121</v>
      </c>
      <c r="H4294" s="75" t="s">
        <v>2863</v>
      </c>
    </row>
    <row r="4295" spans="2:8" hidden="1" outlineLevel="1">
      <c r="B4295" s="76"/>
      <c r="C4295" t="str">
        <f>$E$5962</f>
        <v>Show</v>
      </c>
      <c r="D4295" s="23"/>
      <c r="E4295" s="12"/>
      <c r="F4295" s="70" t="str">
        <f>CHAR(65+(COUNTIF(C$4286:C4294,"Show")/2))&amp;"."</f>
        <v>E.</v>
      </c>
      <c r="G4295" s="12" t="s">
        <v>3471</v>
      </c>
    </row>
    <row r="4296" spans="2:8" hidden="1" outlineLevel="1">
      <c r="B4296" s="76"/>
      <c r="C4296" s="9" t="str">
        <f>C4295</f>
        <v>Show</v>
      </c>
      <c r="D4296" s="23"/>
      <c r="E4296" s="12"/>
      <c r="G4296" s="30" t="s">
        <v>121</v>
      </c>
      <c r="H4296" s="75" t="s">
        <v>2872</v>
      </c>
    </row>
    <row r="4297" spans="2:8" hidden="1" outlineLevel="1">
      <c r="B4297" s="76"/>
      <c r="C4297" t="str">
        <f>$E$5964</f>
        <v>Show</v>
      </c>
      <c r="D4297" s="23"/>
      <c r="E4297" s="12"/>
      <c r="F4297" s="70" t="str">
        <f>CHAR(65+(COUNTIF(C$4286:C4296,"Show")/2))&amp;"."</f>
        <v>F.</v>
      </c>
      <c r="G4297" s="12" t="s">
        <v>3410</v>
      </c>
    </row>
    <row r="4298" spans="2:8" hidden="1" outlineLevel="1">
      <c r="B4298" s="76"/>
      <c r="C4298" s="9" t="str">
        <f>C4297</f>
        <v>Show</v>
      </c>
      <c r="D4298" s="23"/>
      <c r="E4298" s="12"/>
      <c r="G4298" s="30" t="s">
        <v>121</v>
      </c>
      <c r="H4298" s="75" t="s">
        <v>2337</v>
      </c>
    </row>
    <row r="4299" spans="2:8" hidden="1" outlineLevel="1">
      <c r="B4299" s="76"/>
      <c r="C4299" s="9" t="str">
        <f>C4262</f>
        <v>Show</v>
      </c>
      <c r="D4299" s="23" t="s">
        <v>187</v>
      </c>
      <c r="E4299" s="13"/>
      <c r="G4299" s="13"/>
    </row>
    <row r="4300" spans="2:8" hidden="1" outlineLevel="1">
      <c r="B4300" s="76"/>
      <c r="C4300" s="9" t="str">
        <f>C4262</f>
        <v>Show</v>
      </c>
      <c r="D4300" s="23"/>
      <c r="E4300" s="12" t="str">
        <f>IF(COUNTIF(C4301:C4314,"Show")&gt;0,"3.1 Execution Requirements","No EGC Requirements")</f>
        <v>3.1 Execution Requirements</v>
      </c>
      <c r="G4300" s="13"/>
    </row>
    <row r="4301" spans="2:8" hidden="1" outlineLevel="1">
      <c r="B4301" s="76"/>
      <c r="C4301" t="str">
        <f>$F$5954</f>
        <v>Show</v>
      </c>
      <c r="D4301" s="23"/>
      <c r="E4301" s="13"/>
      <c r="F4301" s="70" t="s">
        <v>119</v>
      </c>
      <c r="G4301" s="12" t="s">
        <v>3439</v>
      </c>
    </row>
    <row r="4302" spans="2:8" ht="30" hidden="1" outlineLevel="1">
      <c r="B4302" s="76"/>
      <c r="C4302" s="9" t="str">
        <f>C4301</f>
        <v>Show</v>
      </c>
      <c r="D4302" s="23"/>
      <c r="E4302" s="13"/>
      <c r="G4302" s="78" t="s">
        <v>121</v>
      </c>
      <c r="H4302" s="75" t="s">
        <v>2551</v>
      </c>
    </row>
    <row r="4303" spans="2:8" hidden="1" outlineLevel="1">
      <c r="B4303" s="76"/>
      <c r="C4303" t="str">
        <f>$F$5956</f>
        <v>Show</v>
      </c>
      <c r="D4303" s="23"/>
      <c r="E4303" s="13"/>
      <c r="F4303" s="70" t="str">
        <f>CHAR(65+(COUNTIF(C$4301:C4302,"Show")/2))&amp;"."</f>
        <v>B.</v>
      </c>
      <c r="G4303" s="12" t="s">
        <v>3469</v>
      </c>
    </row>
    <row r="4304" spans="2:8" hidden="1" outlineLevel="1">
      <c r="B4304" s="76"/>
      <c r="C4304" s="9" t="str">
        <f>C4303</f>
        <v>Show</v>
      </c>
      <c r="D4304" s="23"/>
      <c r="E4304" s="13"/>
      <c r="G4304" s="78" t="s">
        <v>121</v>
      </c>
      <c r="H4304" s="75" t="s">
        <v>2873</v>
      </c>
    </row>
    <row r="4305" spans="2:9" hidden="1" outlineLevel="1">
      <c r="B4305" s="76"/>
      <c r="C4305" t="str">
        <f>$F$5958</f>
        <v>Show</v>
      </c>
      <c r="D4305" s="23"/>
      <c r="E4305" s="13"/>
      <c r="F4305" s="70" t="str">
        <f>CHAR(65+(COUNTIF(C$4301:C4304,"Show")/2))&amp;"."</f>
        <v>C.</v>
      </c>
      <c r="G4305" s="12" t="s">
        <v>3403</v>
      </c>
    </row>
    <row r="4306" spans="2:9" hidden="1" outlineLevel="1">
      <c r="B4306" s="76"/>
      <c r="C4306" s="9" t="str">
        <f>C4305</f>
        <v>Show</v>
      </c>
      <c r="D4306" s="23"/>
      <c r="E4306" s="13"/>
      <c r="G4306" s="78" t="s">
        <v>121</v>
      </c>
      <c r="H4306" s="75" t="s">
        <v>2874</v>
      </c>
    </row>
    <row r="4307" spans="2:9" hidden="1" outlineLevel="1">
      <c r="B4307" s="76"/>
      <c r="C4307" t="str">
        <f>$F$5959</f>
        <v>Show</v>
      </c>
      <c r="D4307" s="23"/>
      <c r="E4307" s="13"/>
      <c r="F4307" s="70" t="str">
        <f>CHAR(65+(COUNTIF(C$4301:C4306,"Show")/2))&amp;"."</f>
        <v>D.</v>
      </c>
      <c r="G4307" s="12" t="s">
        <v>3466</v>
      </c>
    </row>
    <row r="4308" spans="2:9" hidden="1" outlineLevel="1">
      <c r="B4308" s="76"/>
      <c r="C4308" s="9" t="str">
        <f>C4307</f>
        <v>Show</v>
      </c>
      <c r="D4308" s="23"/>
      <c r="E4308" s="13"/>
      <c r="G4308" s="78" t="s">
        <v>121</v>
      </c>
      <c r="H4308" s="75" t="s">
        <v>2859</v>
      </c>
    </row>
    <row r="4309" spans="2:9" hidden="1" outlineLevel="1">
      <c r="B4309" s="76"/>
      <c r="C4309" t="str">
        <f>$F$5960</f>
        <v>Show</v>
      </c>
      <c r="D4309" s="23"/>
      <c r="E4309" s="13"/>
      <c r="F4309" s="70" t="str">
        <f>CHAR(65+(COUNTIF(C$4301:C4308,"Show")/2))&amp;"."</f>
        <v>E.</v>
      </c>
      <c r="G4309" s="12" t="s">
        <v>3468</v>
      </c>
    </row>
    <row r="4310" spans="2:9" hidden="1" outlineLevel="1">
      <c r="B4310" s="76"/>
      <c r="C4310" s="9" t="str">
        <f>C4309</f>
        <v>Show</v>
      </c>
      <c r="D4310" s="23"/>
      <c r="E4310" s="13"/>
      <c r="G4310" s="78" t="s">
        <v>121</v>
      </c>
      <c r="H4310" s="75" t="s">
        <v>2864</v>
      </c>
    </row>
    <row r="4311" spans="2:9" hidden="1" outlineLevel="1">
      <c r="B4311" s="76"/>
      <c r="C4311" t="str">
        <f>$F$5962</f>
        <v>Show</v>
      </c>
      <c r="D4311" s="23"/>
      <c r="E4311" s="13"/>
      <c r="F4311" s="70" t="str">
        <f>CHAR(65+(COUNTIF(C$4302:C4310,"Show")/2))&amp;"."</f>
        <v>E.</v>
      </c>
      <c r="G4311" s="12" t="s">
        <v>3471</v>
      </c>
    </row>
    <row r="4312" spans="2:9" hidden="1" outlineLevel="1">
      <c r="B4312" s="76"/>
      <c r="C4312" s="9" t="str">
        <f>C4311</f>
        <v>Show</v>
      </c>
      <c r="D4312" s="23"/>
      <c r="E4312" s="13"/>
      <c r="G4312" s="78" t="s">
        <v>121</v>
      </c>
      <c r="H4312" s="75" t="s">
        <v>2875</v>
      </c>
    </row>
    <row r="4313" spans="2:9" hidden="1" outlineLevel="1">
      <c r="B4313" s="76"/>
      <c r="C4313" t="str">
        <f>$F$5964</f>
        <v>Show</v>
      </c>
      <c r="D4313" s="23"/>
      <c r="E4313" s="13"/>
      <c r="F4313" s="70" t="str">
        <f>CHAR(65+(COUNTIF(C$4302:C4312,"Show")/2))&amp;"."</f>
        <v>F.</v>
      </c>
      <c r="G4313" s="12" t="s">
        <v>3410</v>
      </c>
    </row>
    <row r="4314" spans="2:9" ht="30" hidden="1" outlineLevel="1">
      <c r="B4314" s="76"/>
      <c r="C4314" s="9" t="str">
        <f>C4313</f>
        <v>Show</v>
      </c>
      <c r="D4314" s="23"/>
      <c r="E4314" s="13"/>
      <c r="G4314" s="78" t="s">
        <v>121</v>
      </c>
      <c r="H4314" s="75" t="s">
        <v>2339</v>
      </c>
    </row>
    <row r="4315" spans="2:9" hidden="1" outlineLevel="1">
      <c r="B4315" s="76"/>
      <c r="C4315" s="9" t="str">
        <f>C4262</f>
        <v>Show</v>
      </c>
      <c r="F4315" s="70"/>
    </row>
    <row r="4316" spans="2:9" collapsed="1">
      <c r="B4316" s="23"/>
      <c r="C4316" s="2" t="str">
        <f>C4317</f>
        <v>Show</v>
      </c>
      <c r="D4316" s="60" t="s">
        <v>606</v>
      </c>
      <c r="E4316" s="60"/>
      <c r="F4316" s="56" t="s">
        <v>607</v>
      </c>
      <c r="G4316" s="53"/>
      <c r="H4316" s="54"/>
      <c r="I4316" s="75"/>
    </row>
    <row r="4317" spans="2:9" hidden="1" outlineLevel="1">
      <c r="B4317" s="76"/>
      <c r="C4317" s="2" t="str">
        <f>IF((COUNTIF(C4321:C4329,"Show")+COUNTIF(C4332:C4339,"Show")+COUNTIF(C4342:C4347,"Show"))&gt;0,"Show","Hide")</f>
        <v>Show</v>
      </c>
      <c r="D4317" s="23" t="s">
        <v>117</v>
      </c>
      <c r="E4317" s="13"/>
      <c r="G4317" s="13"/>
    </row>
    <row r="4318" spans="2:9" hidden="1" outlineLevel="1">
      <c r="B4318" s="76"/>
      <c r="C4318" s="9" t="str">
        <f>C4317</f>
        <v>Show</v>
      </c>
      <c r="D4318" s="23"/>
      <c r="E4318" s="13">
        <v>1.1000000000000001</v>
      </c>
      <c r="F4318" s="11" t="s">
        <v>118</v>
      </c>
      <c r="G4318" s="13"/>
    </row>
    <row r="4319" spans="2:9" hidden="1" outlineLevel="1">
      <c r="B4319" s="76"/>
      <c r="C4319" s="9" t="str">
        <f>C4318</f>
        <v>Show</v>
      </c>
      <c r="D4319" s="23"/>
      <c r="E4319" s="13"/>
      <c r="F4319" s="70" t="s">
        <v>119</v>
      </c>
      <c r="G4319" s="18" t="s">
        <v>677</v>
      </c>
    </row>
    <row r="4320" spans="2:9" hidden="1" outlineLevel="1">
      <c r="B4320" s="76"/>
      <c r="C4320" s="9" t="str">
        <f>C4319</f>
        <v>Show</v>
      </c>
      <c r="D4320" s="23"/>
      <c r="E4320" s="13"/>
      <c r="F4320" s="70"/>
      <c r="G4320" s="78" t="s">
        <v>121</v>
      </c>
      <c r="H4320" s="79" t="s">
        <v>2301</v>
      </c>
    </row>
    <row r="4321" spans="2:8" hidden="1" outlineLevel="1">
      <c r="B4321" s="76"/>
      <c r="C4321" s="9" t="str">
        <f>IF(COUNTIF(C4322:C4329,"Show")&gt;0,"Show","Hide")</f>
        <v>Show</v>
      </c>
      <c r="D4321" s="23"/>
      <c r="E4321" s="13">
        <v>1.2</v>
      </c>
      <c r="F4321" s="71" t="s">
        <v>131</v>
      </c>
      <c r="G4321" s="78"/>
    </row>
    <row r="4322" spans="2:8" hidden="1" outlineLevel="1">
      <c r="B4322" s="76"/>
      <c r="C4322" t="str">
        <f>$D$5954</f>
        <v>Show</v>
      </c>
      <c r="D4322" s="23"/>
      <c r="E4322" s="13"/>
      <c r="F4322" s="70" t="s">
        <v>119</v>
      </c>
      <c r="G4322" s="12" t="s">
        <v>3439</v>
      </c>
    </row>
    <row r="4323" spans="2:8" hidden="1" outlineLevel="1">
      <c r="B4323" s="76"/>
      <c r="C4323" s="9" t="str">
        <f>C4322</f>
        <v>Show</v>
      </c>
      <c r="D4323" s="23"/>
      <c r="E4323" s="13"/>
      <c r="F4323" s="70"/>
      <c r="G4323" s="78" t="s">
        <v>121</v>
      </c>
      <c r="H4323" s="75" t="s">
        <v>2547</v>
      </c>
    </row>
    <row r="4324" spans="2:8" hidden="1" outlineLevel="1">
      <c r="B4324" s="76"/>
      <c r="C4324" t="str">
        <f>$D$5961</f>
        <v>Show</v>
      </c>
      <c r="D4324" s="23"/>
      <c r="E4324" s="13"/>
      <c r="F4324" s="70" t="str">
        <f>CHAR(65+(COUNTIF(C$4322:C4323,"Show")/2))&amp;"."</f>
        <v>B.</v>
      </c>
      <c r="G4324" s="12" t="s">
        <v>3472</v>
      </c>
    </row>
    <row r="4325" spans="2:8" hidden="1" outlineLevel="1">
      <c r="B4325" s="76"/>
      <c r="C4325" s="9" t="str">
        <f>C4324</f>
        <v>Show</v>
      </c>
      <c r="D4325" s="23"/>
      <c r="E4325" s="13"/>
      <c r="F4325" s="70"/>
      <c r="G4325" s="78" t="s">
        <v>121</v>
      </c>
      <c r="H4325" s="75" t="s">
        <v>2876</v>
      </c>
    </row>
    <row r="4326" spans="2:8" hidden="1" outlineLevel="1">
      <c r="B4326" s="76"/>
      <c r="C4326" t="str">
        <f>$D$5967</f>
        <v>Show</v>
      </c>
      <c r="D4326" s="23"/>
      <c r="E4326" s="13"/>
      <c r="F4326" s="70" t="str">
        <f>CHAR(65+(COUNTIF(C$4322:C4325,"Show")/2))&amp;"."</f>
        <v>C.</v>
      </c>
      <c r="G4326" s="12" t="s">
        <v>3493</v>
      </c>
    </row>
    <row r="4327" spans="2:8" ht="30" hidden="1" outlineLevel="1">
      <c r="B4327" s="76"/>
      <c r="C4327" s="9" t="str">
        <f>C4326</f>
        <v>Show</v>
      </c>
      <c r="D4327" s="23"/>
      <c r="E4327" s="13"/>
      <c r="F4327" s="70"/>
      <c r="G4327" s="78" t="s">
        <v>121</v>
      </c>
      <c r="H4327" s="75" t="s">
        <v>2838</v>
      </c>
    </row>
    <row r="4328" spans="2:8" hidden="1" outlineLevel="1">
      <c r="B4328" s="76"/>
      <c r="C4328" t="str">
        <f>$D$5985</f>
        <v>Show</v>
      </c>
      <c r="D4328" s="23"/>
      <c r="E4328" s="13"/>
      <c r="F4328" s="70" t="str">
        <f>CHAR(65+(COUNTIF(C$4322:C4327,"Show")/2))&amp;"."</f>
        <v>D.</v>
      </c>
      <c r="G4328" s="12" t="s">
        <v>3473</v>
      </c>
    </row>
    <row r="4329" spans="2:8" hidden="1" outlineLevel="1">
      <c r="B4329" s="76"/>
      <c r="C4329" s="9" t="str">
        <f>C4328</f>
        <v>Show</v>
      </c>
      <c r="D4329" s="23"/>
      <c r="E4329" s="13"/>
      <c r="F4329" s="70"/>
      <c r="G4329" s="78" t="s">
        <v>121</v>
      </c>
      <c r="H4329" s="75" t="s">
        <v>2877</v>
      </c>
    </row>
    <row r="4330" spans="2:8" hidden="1" outlineLevel="1">
      <c r="B4330" s="76"/>
      <c r="C4330" s="9" t="str">
        <f>C4317</f>
        <v>Show</v>
      </c>
      <c r="D4330" s="23" t="s">
        <v>613</v>
      </c>
      <c r="E4330" s="13"/>
      <c r="G4330" s="13"/>
    </row>
    <row r="4331" spans="2:8" hidden="1" outlineLevel="1">
      <c r="B4331" s="76"/>
      <c r="C4331" s="9" t="str">
        <f>C4317</f>
        <v>Show</v>
      </c>
      <c r="D4331" s="23"/>
      <c r="E4331" s="12" t="str">
        <f>IF(COUNTIF(C4332:C4339,"Show")&gt;0,"2.1 Product Requirements","No EGC Requirements")</f>
        <v>2.1 Product Requirements</v>
      </c>
      <c r="G4331" s="13"/>
    </row>
    <row r="4332" spans="2:8" hidden="1" outlineLevel="1">
      <c r="B4332" s="76"/>
      <c r="C4332" t="str">
        <f>$E$5954</f>
        <v>Show</v>
      </c>
      <c r="D4332" s="23"/>
      <c r="E4332" s="12"/>
      <c r="F4332" s="70" t="s">
        <v>119</v>
      </c>
      <c r="G4332" s="12" t="s">
        <v>3439</v>
      </c>
    </row>
    <row r="4333" spans="2:8" hidden="1" outlineLevel="1">
      <c r="B4333" s="76"/>
      <c r="C4333" s="9" t="str">
        <f>C4332</f>
        <v>Show</v>
      </c>
      <c r="D4333" s="23"/>
      <c r="E4333" s="12"/>
      <c r="G4333" s="78" t="s">
        <v>121</v>
      </c>
      <c r="H4333" s="75" t="s">
        <v>2549</v>
      </c>
    </row>
    <row r="4334" spans="2:8" hidden="1" outlineLevel="1">
      <c r="B4334" s="76"/>
      <c r="C4334" t="str">
        <f>$E$5961</f>
        <v>Show</v>
      </c>
      <c r="D4334" s="23"/>
      <c r="E4334" s="12"/>
      <c r="F4334" s="70" t="str">
        <f>CHAR(65+(COUNTIF(C$4332:C4333,"Show")/2))&amp;"."</f>
        <v>B.</v>
      </c>
      <c r="G4334" s="12" t="s">
        <v>3472</v>
      </c>
    </row>
    <row r="4335" spans="2:8" hidden="1" outlineLevel="1">
      <c r="B4335" s="76"/>
      <c r="C4335" s="9" t="str">
        <f>C4334</f>
        <v>Show</v>
      </c>
      <c r="D4335" s="23"/>
      <c r="E4335" s="12"/>
      <c r="G4335" s="78" t="s">
        <v>121</v>
      </c>
      <c r="H4335" s="75" t="s">
        <v>2878</v>
      </c>
    </row>
    <row r="4336" spans="2:8" hidden="1" outlineLevel="1">
      <c r="B4336" s="76"/>
      <c r="C4336" t="str">
        <f>$E$5966</f>
        <v>Show</v>
      </c>
      <c r="D4336" s="23"/>
      <c r="E4336" s="12"/>
      <c r="F4336" s="70" t="str">
        <f>CHAR(65+(COUNTIF(C$4332:C4335,"Show")/2))&amp;"."</f>
        <v>C.</v>
      </c>
      <c r="G4336" s="12" t="s">
        <v>3493</v>
      </c>
    </row>
    <row r="4337" spans="2:9" hidden="1" outlineLevel="1">
      <c r="B4337" s="76"/>
      <c r="C4337" s="9" t="str">
        <f>C4336</f>
        <v>Show</v>
      </c>
      <c r="D4337" s="23"/>
      <c r="E4337" s="12"/>
      <c r="F4337" s="70"/>
      <c r="G4337" s="78" t="s">
        <v>121</v>
      </c>
      <c r="H4337" s="75" t="s">
        <v>2839</v>
      </c>
    </row>
    <row r="4338" spans="2:9" hidden="1" outlineLevel="1">
      <c r="B4338" s="76"/>
      <c r="C4338" t="str">
        <f>$E$5985</f>
        <v>Show</v>
      </c>
      <c r="D4338" s="23"/>
      <c r="E4338" s="12"/>
      <c r="F4338" s="70" t="str">
        <f>CHAR(65+(COUNTIF(C$4332:C4337,"Show")/2))&amp;"."</f>
        <v>D.</v>
      </c>
      <c r="G4338" s="12" t="s">
        <v>3473</v>
      </c>
    </row>
    <row r="4339" spans="2:9" hidden="1" outlineLevel="1">
      <c r="B4339" s="76"/>
      <c r="C4339" s="9" t="str">
        <f>C4338</f>
        <v>Show</v>
      </c>
      <c r="D4339" s="23"/>
      <c r="E4339" s="12"/>
      <c r="G4339" s="78" t="s">
        <v>121</v>
      </c>
      <c r="H4339" s="75" t="s">
        <v>2879</v>
      </c>
    </row>
    <row r="4340" spans="2:9" hidden="1" outlineLevel="1">
      <c r="B4340" s="76"/>
      <c r="C4340" s="9" t="str">
        <f>C4317</f>
        <v>Show</v>
      </c>
      <c r="D4340" s="23" t="s">
        <v>187</v>
      </c>
      <c r="E4340" s="13"/>
      <c r="G4340" s="13"/>
    </row>
    <row r="4341" spans="2:9" hidden="1" outlineLevel="1">
      <c r="B4341" s="76"/>
      <c r="C4341" s="9" t="str">
        <f>C4317</f>
        <v>Show</v>
      </c>
      <c r="D4341" s="23"/>
      <c r="E4341" s="12" t="str">
        <f>IF(COUNTIF(C4342:C4347,"Show")&gt;0,"3.1 Execution Requirements","No EGC Requirements")</f>
        <v>3.1 Execution Requirements</v>
      </c>
      <c r="G4341" s="13"/>
    </row>
    <row r="4342" spans="2:9" hidden="1" outlineLevel="1">
      <c r="B4342" s="76"/>
      <c r="C4342" t="str">
        <f>$F$5954</f>
        <v>Show</v>
      </c>
      <c r="D4342" s="23"/>
      <c r="E4342" s="13"/>
      <c r="F4342" s="70" t="s">
        <v>119</v>
      </c>
      <c r="G4342" s="12" t="s">
        <v>3439</v>
      </c>
    </row>
    <row r="4343" spans="2:9" ht="30" hidden="1" outlineLevel="1">
      <c r="B4343" s="76"/>
      <c r="C4343" s="9" t="str">
        <f>C4342</f>
        <v>Show</v>
      </c>
      <c r="D4343" s="23"/>
      <c r="E4343" s="13"/>
      <c r="G4343" s="78" t="s">
        <v>121</v>
      </c>
      <c r="H4343" s="75" t="s">
        <v>2551</v>
      </c>
    </row>
    <row r="4344" spans="2:9" hidden="1" outlineLevel="1">
      <c r="B4344" s="76"/>
      <c r="C4344" t="str">
        <f>$F$5967</f>
        <v>Show</v>
      </c>
      <c r="D4344" s="23"/>
      <c r="E4344" s="13"/>
      <c r="F4344" s="70" t="str">
        <f>CHAR(65+(COUNTIF(C$4342:C4343,"Show")/2))&amp;"."</f>
        <v>B.</v>
      </c>
      <c r="G4344" s="12" t="s">
        <v>3493</v>
      </c>
    </row>
    <row r="4345" spans="2:9" ht="30" hidden="1" outlineLevel="1">
      <c r="B4345" s="76"/>
      <c r="C4345" s="9" t="str">
        <f>C4344</f>
        <v>Show</v>
      </c>
      <c r="D4345" s="23"/>
      <c r="E4345" s="13"/>
      <c r="G4345" s="78" t="s">
        <v>121</v>
      </c>
      <c r="H4345" s="75" t="s">
        <v>2840</v>
      </c>
    </row>
    <row r="4346" spans="2:9" hidden="1" outlineLevel="1">
      <c r="B4346" s="76"/>
      <c r="C4346" t="str">
        <f>$F$5985</f>
        <v>Show</v>
      </c>
      <c r="D4346" s="23"/>
      <c r="E4346" s="13"/>
      <c r="F4346" s="70" t="str">
        <f>CHAR(65+(COUNTIF(C$4342:C4345,"Show")/2))&amp;"."</f>
        <v>C.</v>
      </c>
      <c r="G4346" s="12" t="s">
        <v>3473</v>
      </c>
    </row>
    <row r="4347" spans="2:9" hidden="1" outlineLevel="1">
      <c r="B4347" s="76"/>
      <c r="C4347" s="9" t="str">
        <f>C4346</f>
        <v>Show</v>
      </c>
      <c r="D4347" s="23"/>
      <c r="E4347" s="13"/>
      <c r="G4347" s="78" t="s">
        <v>121</v>
      </c>
      <c r="H4347" s="75" t="s">
        <v>2880</v>
      </c>
    </row>
    <row r="4348" spans="2:9" hidden="1" outlineLevel="1">
      <c r="B4348" s="76"/>
      <c r="C4348" s="9" t="str">
        <f>C4317</f>
        <v>Show</v>
      </c>
    </row>
    <row r="4349" spans="2:9" collapsed="1">
      <c r="B4349" s="23"/>
      <c r="C4349" s="2" t="str">
        <f>C4350</f>
        <v>Show</v>
      </c>
      <c r="D4349" s="60" t="s">
        <v>1223</v>
      </c>
      <c r="E4349" s="60"/>
      <c r="F4349" s="56" t="s">
        <v>572</v>
      </c>
      <c r="G4349" s="53"/>
      <c r="H4349" s="54"/>
      <c r="I4349" s="75"/>
    </row>
    <row r="4350" spans="2:9" hidden="1" outlineLevel="1">
      <c r="B4350" s="76"/>
      <c r="C4350" s="2" t="str">
        <f>IF((COUNTIF(C4354:C4360,"Show")+COUNTIF(C4363:C4364,"Show")+COUNTIF(C4367:C4370,"Show"))&gt;0,"Show","Hide")</f>
        <v>Show</v>
      </c>
      <c r="D4350" s="23" t="s">
        <v>117</v>
      </c>
      <c r="E4350" s="13"/>
      <c r="G4350" s="13"/>
    </row>
    <row r="4351" spans="2:9" hidden="1" outlineLevel="1">
      <c r="B4351" s="76"/>
      <c r="C4351" s="9" t="str">
        <f>C4350</f>
        <v>Show</v>
      </c>
      <c r="D4351" s="23"/>
      <c r="E4351" s="13">
        <v>1.1000000000000001</v>
      </c>
      <c r="F4351" s="11" t="s">
        <v>118</v>
      </c>
      <c r="G4351" s="13"/>
    </row>
    <row r="4352" spans="2:9" hidden="1" outlineLevel="1">
      <c r="B4352" s="76"/>
      <c r="C4352" s="9" t="str">
        <f>C4351</f>
        <v>Show</v>
      </c>
      <c r="D4352" s="23"/>
      <c r="E4352" s="13"/>
      <c r="F4352" s="70" t="s">
        <v>119</v>
      </c>
      <c r="G4352" s="18" t="s">
        <v>677</v>
      </c>
    </row>
    <row r="4353" spans="2:8" hidden="1" outlineLevel="1">
      <c r="B4353" s="76"/>
      <c r="C4353" s="9" t="str">
        <f>C4352</f>
        <v>Show</v>
      </c>
      <c r="D4353" s="23"/>
      <c r="E4353" s="13"/>
      <c r="F4353" s="70"/>
      <c r="G4353" s="78" t="s">
        <v>121</v>
      </c>
      <c r="H4353" s="79" t="s">
        <v>2301</v>
      </c>
    </row>
    <row r="4354" spans="2:8" hidden="1" outlineLevel="1">
      <c r="B4354" s="76"/>
      <c r="C4354" s="9" t="str">
        <f>IF(COUNTIF(C4355:C4360,"Show")&gt;0,"Show","Hide")</f>
        <v>Show</v>
      </c>
      <c r="D4354" s="23"/>
      <c r="E4354" s="13">
        <v>1.2</v>
      </c>
      <c r="F4354" s="71" t="s">
        <v>131</v>
      </c>
      <c r="G4354" s="78"/>
    </row>
    <row r="4355" spans="2:8" hidden="1" outlineLevel="1">
      <c r="B4355" s="76"/>
      <c r="C4355" t="str">
        <f>$D$5948</f>
        <v>Show</v>
      </c>
      <c r="D4355" s="23"/>
      <c r="E4355" s="13"/>
      <c r="F4355" s="70" t="s">
        <v>119</v>
      </c>
      <c r="G4355" s="12" t="s">
        <v>3474</v>
      </c>
    </row>
    <row r="4356" spans="2:8" hidden="1" outlineLevel="1">
      <c r="B4356" s="76"/>
      <c r="C4356" s="9" t="str">
        <f>C4355</f>
        <v>Show</v>
      </c>
      <c r="D4356" s="23"/>
      <c r="E4356" s="13"/>
      <c r="F4356" s="70"/>
      <c r="G4356" s="78" t="s">
        <v>121</v>
      </c>
      <c r="H4356" s="75" t="s">
        <v>2881</v>
      </c>
    </row>
    <row r="4357" spans="2:8" hidden="1" outlineLevel="1">
      <c r="B4357" s="76"/>
      <c r="C4357" t="str">
        <f>$D$5950</f>
        <v>Show</v>
      </c>
      <c r="D4357" s="23"/>
      <c r="E4357" s="13"/>
      <c r="F4357" s="70" t="str">
        <f>CHAR(65+(COUNTIF(C$4355:C4356,"Show")/2))&amp;"."</f>
        <v>B.</v>
      </c>
      <c r="G4357" s="12" t="s">
        <v>3475</v>
      </c>
    </row>
    <row r="4358" spans="2:8" hidden="1" outlineLevel="1">
      <c r="B4358" s="76"/>
      <c r="C4358" s="9" t="str">
        <f>C4357</f>
        <v>Show</v>
      </c>
      <c r="D4358" s="23"/>
      <c r="E4358" s="13"/>
      <c r="F4358" s="70"/>
      <c r="G4358" s="78" t="s">
        <v>121</v>
      </c>
      <c r="H4358" s="75" t="s">
        <v>2882</v>
      </c>
    </row>
    <row r="4359" spans="2:8" hidden="1" outlineLevel="1">
      <c r="B4359" s="76"/>
      <c r="C4359" t="str">
        <f>$D$5961</f>
        <v>Show</v>
      </c>
      <c r="D4359" s="23"/>
      <c r="E4359" s="13"/>
      <c r="F4359" s="70" t="str">
        <f>CHAR(65+(COUNTIF(C$4355:C4358,"Show")/2))&amp;"."</f>
        <v>C.</v>
      </c>
      <c r="G4359" s="12" t="s">
        <v>3472</v>
      </c>
    </row>
    <row r="4360" spans="2:8" hidden="1" outlineLevel="1">
      <c r="B4360" s="76"/>
      <c r="C4360" s="9" t="str">
        <f>C4359</f>
        <v>Show</v>
      </c>
      <c r="D4360" s="23"/>
      <c r="E4360" s="13"/>
      <c r="F4360" s="70"/>
      <c r="G4360" s="78" t="s">
        <v>121</v>
      </c>
      <c r="H4360" s="75" t="s">
        <v>2876</v>
      </c>
    </row>
    <row r="4361" spans="2:8" hidden="1" outlineLevel="1">
      <c r="B4361" s="76"/>
      <c r="C4361" s="9" t="str">
        <f>C4350</f>
        <v>Show</v>
      </c>
      <c r="D4361" s="23" t="s">
        <v>613</v>
      </c>
      <c r="E4361" s="13"/>
      <c r="G4361" s="13"/>
    </row>
    <row r="4362" spans="2:8" hidden="1" outlineLevel="1">
      <c r="B4362" s="76"/>
      <c r="C4362" s="9" t="str">
        <f>C4350</f>
        <v>Show</v>
      </c>
      <c r="D4362" s="23"/>
      <c r="E4362" s="12" t="str">
        <f>IF(COUNTIF(C4363:C4364,"Show")&gt;0,"2.1 Product Requirements","No EGC Requirements")</f>
        <v>2.1 Product Requirements</v>
      </c>
      <c r="G4362" s="13"/>
    </row>
    <row r="4363" spans="2:8" hidden="1" outlineLevel="1">
      <c r="B4363" s="76"/>
      <c r="C4363" t="str">
        <f>$E$5961</f>
        <v>Show</v>
      </c>
      <c r="D4363" s="23"/>
      <c r="E4363" s="12"/>
      <c r="F4363" s="70" t="s">
        <v>119</v>
      </c>
      <c r="G4363" s="12" t="s">
        <v>3472</v>
      </c>
    </row>
    <row r="4364" spans="2:8" hidden="1" outlineLevel="1">
      <c r="B4364" s="76"/>
      <c r="C4364" s="9" t="str">
        <f>C4363</f>
        <v>Show</v>
      </c>
      <c r="D4364" s="23"/>
      <c r="E4364" s="12"/>
      <c r="G4364" s="78" t="s">
        <v>121</v>
      </c>
      <c r="H4364" s="75" t="s">
        <v>2878</v>
      </c>
    </row>
    <row r="4365" spans="2:8" hidden="1" outlineLevel="1">
      <c r="B4365" s="76"/>
      <c r="C4365" s="9" t="str">
        <f>C4350</f>
        <v>Show</v>
      </c>
      <c r="D4365" s="23" t="s">
        <v>187</v>
      </c>
      <c r="E4365" s="13"/>
      <c r="G4365" s="13"/>
    </row>
    <row r="4366" spans="2:8" hidden="1" outlineLevel="1">
      <c r="B4366" s="76"/>
      <c r="C4366" s="9" t="str">
        <f>C4350</f>
        <v>Show</v>
      </c>
      <c r="D4366" s="23"/>
      <c r="E4366" s="12" t="str">
        <f>IF(COUNTIF(C4367:C4370,"Show")&gt;0,"3.1 Execution Requirements","No EGC Requirements")</f>
        <v>3.1 Execution Requirements</v>
      </c>
      <c r="G4366" s="13"/>
    </row>
    <row r="4367" spans="2:8" hidden="1" outlineLevel="1">
      <c r="B4367" s="76"/>
      <c r="C4367" t="str">
        <f>$F$5948</f>
        <v>Show</v>
      </c>
      <c r="D4367" s="23"/>
      <c r="E4367" s="13"/>
      <c r="F4367" s="70" t="s">
        <v>119</v>
      </c>
      <c r="G4367" s="12" t="s">
        <v>3474</v>
      </c>
    </row>
    <row r="4368" spans="2:8" hidden="1" outlineLevel="1">
      <c r="B4368" s="76"/>
      <c r="C4368" s="9" t="str">
        <f>C4367</f>
        <v>Show</v>
      </c>
      <c r="D4368" s="23"/>
      <c r="E4368" s="13"/>
      <c r="G4368" s="78" t="s">
        <v>121</v>
      </c>
      <c r="H4368" s="75" t="s">
        <v>2883</v>
      </c>
    </row>
    <row r="4369" spans="2:9" hidden="1" outlineLevel="1">
      <c r="B4369" s="76"/>
      <c r="C4369" t="str">
        <f>$F$5950</f>
        <v>Show</v>
      </c>
      <c r="D4369" s="23"/>
      <c r="E4369" s="13"/>
      <c r="F4369" s="70" t="str">
        <f>CHAR(65+(COUNTIF(C$4367:C4368,"Show")/2))&amp;"."</f>
        <v>B.</v>
      </c>
      <c r="G4369" s="12" t="s">
        <v>3475</v>
      </c>
    </row>
    <row r="4370" spans="2:9" hidden="1" outlineLevel="1">
      <c r="B4370" s="76"/>
      <c r="C4370" s="9" t="str">
        <f>C4369</f>
        <v>Show</v>
      </c>
      <c r="D4370" s="23"/>
      <c r="E4370" s="13"/>
      <c r="G4370" s="78" t="s">
        <v>121</v>
      </c>
      <c r="H4370" s="75" t="s">
        <v>2884</v>
      </c>
    </row>
    <row r="4371" spans="2:9" hidden="1" outlineLevel="1">
      <c r="B4371" s="76"/>
      <c r="C4371" s="9" t="str">
        <f>C4350</f>
        <v>Show</v>
      </c>
    </row>
    <row r="4372" spans="2:9" collapsed="1">
      <c r="B4372" s="23"/>
      <c r="C4372" s="2" t="str">
        <f>C4373</f>
        <v>Show</v>
      </c>
      <c r="D4372" s="60" t="s">
        <v>602</v>
      </c>
      <c r="E4372" s="60"/>
      <c r="F4372" s="56" t="s">
        <v>1240</v>
      </c>
      <c r="G4372" s="53"/>
      <c r="H4372" s="54"/>
      <c r="I4372" s="75"/>
    </row>
    <row r="4373" spans="2:9" hidden="1" outlineLevel="1">
      <c r="B4373" s="76"/>
      <c r="C4373" s="2" t="str">
        <f>IF((COUNTIF(C4377:C4379,"Show")+COUNTIF(C4382:C4383,"Show")+COUNTIF(C4386:C4387,"Show"))&gt;0,"Show","Hide")</f>
        <v>Show</v>
      </c>
      <c r="D4373" s="23" t="s">
        <v>117</v>
      </c>
      <c r="E4373" s="13"/>
      <c r="G4373" s="13"/>
    </row>
    <row r="4374" spans="2:9" hidden="1" outlineLevel="1">
      <c r="B4374" s="76"/>
      <c r="C4374" s="9" t="str">
        <f>C4373</f>
        <v>Show</v>
      </c>
      <c r="D4374" s="23"/>
      <c r="E4374" s="13">
        <v>1.1000000000000001</v>
      </c>
      <c r="F4374" s="11" t="s">
        <v>118</v>
      </c>
      <c r="G4374" s="13"/>
    </row>
    <row r="4375" spans="2:9" hidden="1" outlineLevel="1">
      <c r="B4375" s="76"/>
      <c r="C4375" s="9" t="str">
        <f>C4374</f>
        <v>Show</v>
      </c>
      <c r="D4375" s="23"/>
      <c r="E4375" s="13"/>
      <c r="F4375" s="70" t="s">
        <v>119</v>
      </c>
      <c r="G4375" s="18" t="s">
        <v>677</v>
      </c>
    </row>
    <row r="4376" spans="2:9" hidden="1" outlineLevel="1">
      <c r="B4376" s="76"/>
      <c r="C4376" s="9" t="str">
        <f>C4375</f>
        <v>Show</v>
      </c>
      <c r="D4376" s="23"/>
      <c r="E4376" s="13"/>
      <c r="F4376" s="70"/>
      <c r="G4376" s="78" t="s">
        <v>121</v>
      </c>
      <c r="H4376" s="79" t="s">
        <v>2301</v>
      </c>
    </row>
    <row r="4377" spans="2:9" hidden="1" outlineLevel="1">
      <c r="B4377" s="76"/>
      <c r="C4377" s="9" t="str">
        <f>IF(COUNTIF(C4378:C4379,"Show")&gt;0,"Show","Hide")</f>
        <v>Show</v>
      </c>
      <c r="D4377" s="23"/>
      <c r="E4377" s="13">
        <v>1.2</v>
      </c>
      <c r="F4377" s="71" t="s">
        <v>131</v>
      </c>
      <c r="G4377" s="78"/>
    </row>
    <row r="4378" spans="2:9" hidden="1" outlineLevel="1">
      <c r="B4378" s="76"/>
      <c r="C4378" t="str">
        <f>$D$5958</f>
        <v>Show</v>
      </c>
      <c r="D4378" s="23"/>
      <c r="E4378" s="13"/>
      <c r="F4378" s="70" t="s">
        <v>119</v>
      </c>
      <c r="G4378" s="12" t="s">
        <v>3403</v>
      </c>
    </row>
    <row r="4379" spans="2:9" hidden="1" outlineLevel="1">
      <c r="B4379" s="76"/>
      <c r="C4379" s="9" t="str">
        <f>C4378</f>
        <v>Show</v>
      </c>
      <c r="D4379" s="23"/>
      <c r="E4379" s="13"/>
      <c r="F4379" s="70"/>
      <c r="G4379" s="78" t="s">
        <v>121</v>
      </c>
      <c r="H4379" s="75" t="s">
        <v>2867</v>
      </c>
    </row>
    <row r="4380" spans="2:9" hidden="1" outlineLevel="1">
      <c r="B4380" s="76"/>
      <c r="C4380" s="9" t="str">
        <f>C4373</f>
        <v>Show</v>
      </c>
      <c r="D4380" s="23" t="s">
        <v>613</v>
      </c>
      <c r="E4380" s="13"/>
      <c r="G4380" s="13"/>
    </row>
    <row r="4381" spans="2:9" hidden="1" outlineLevel="1">
      <c r="B4381" s="76"/>
      <c r="C4381" s="9" t="str">
        <f>C4373</f>
        <v>Show</v>
      </c>
      <c r="D4381" s="23"/>
      <c r="E4381" s="12" t="str">
        <f>IF(COUNTIF(C4382:C4383,"Show")&gt;0,"2.1 Product Requirements","No EGC Requirements")</f>
        <v>2.1 Product Requirements</v>
      </c>
      <c r="G4381" s="13"/>
    </row>
    <row r="4382" spans="2:9" hidden="1" outlineLevel="1">
      <c r="B4382" s="76"/>
      <c r="C4382" t="str">
        <f>$E$5958</f>
        <v>Show</v>
      </c>
      <c r="D4382" s="23"/>
      <c r="E4382" s="12"/>
      <c r="F4382" s="70" t="s">
        <v>119</v>
      </c>
      <c r="G4382" s="12" t="s">
        <v>3403</v>
      </c>
    </row>
    <row r="4383" spans="2:9" hidden="1" outlineLevel="1">
      <c r="B4383" s="76"/>
      <c r="C4383" s="9" t="str">
        <f>C4382</f>
        <v>Show</v>
      </c>
      <c r="D4383" s="23"/>
      <c r="E4383" s="12"/>
      <c r="G4383" s="30" t="s">
        <v>121</v>
      </c>
      <c r="H4383" s="75" t="s">
        <v>2871</v>
      </c>
    </row>
    <row r="4384" spans="2:9" hidden="1" outlineLevel="1">
      <c r="B4384" s="76"/>
      <c r="C4384" s="9" t="str">
        <f>C4373</f>
        <v>Show</v>
      </c>
      <c r="D4384" s="23" t="s">
        <v>187</v>
      </c>
      <c r="E4384" s="13"/>
      <c r="G4384" s="13"/>
    </row>
    <row r="4385" spans="2:9" hidden="1" outlineLevel="1">
      <c r="B4385" s="76"/>
      <c r="C4385" s="9" t="str">
        <f>C4373</f>
        <v>Show</v>
      </c>
      <c r="D4385" s="23"/>
      <c r="E4385" s="12" t="str">
        <f>IF(COUNTIF(C4386:C4387,"Show")&gt;0,"3.1 Execution Requirements","No EGC Requirements")</f>
        <v>3.1 Execution Requirements</v>
      </c>
      <c r="G4385" s="13"/>
    </row>
    <row r="4386" spans="2:9" hidden="1" outlineLevel="1">
      <c r="B4386" s="76"/>
      <c r="C4386" t="str">
        <f>$F$5958</f>
        <v>Show</v>
      </c>
      <c r="D4386" s="23"/>
      <c r="E4386" s="13"/>
      <c r="F4386" s="70" t="s">
        <v>119</v>
      </c>
      <c r="G4386" s="12" t="s">
        <v>3403</v>
      </c>
    </row>
    <row r="4387" spans="2:9" hidden="1" outlineLevel="1">
      <c r="B4387" s="76"/>
      <c r="C4387" s="9" t="str">
        <f>C4386</f>
        <v>Show</v>
      </c>
      <c r="D4387" s="23"/>
      <c r="E4387" s="13"/>
      <c r="G4387" s="78" t="s">
        <v>121</v>
      </c>
      <c r="H4387" s="75" t="s">
        <v>2874</v>
      </c>
    </row>
    <row r="4388" spans="2:9" hidden="1" outlineLevel="1">
      <c r="B4388" s="76"/>
      <c r="C4388" s="9" t="str">
        <f>C4373</f>
        <v>Show</v>
      </c>
      <c r="F4388" s="70"/>
    </row>
    <row r="4389" spans="2:9" collapsed="1">
      <c r="B4389" s="23"/>
      <c r="C4389" s="2" t="str">
        <f>C4390</f>
        <v>Show</v>
      </c>
      <c r="D4389" s="60" t="s">
        <v>309</v>
      </c>
      <c r="E4389" s="55"/>
      <c r="F4389" s="56" t="s">
        <v>573</v>
      </c>
      <c r="G4389" s="53"/>
      <c r="H4389" s="54"/>
      <c r="I4389" s="75"/>
    </row>
    <row r="4390" spans="2:9" hidden="1" outlineLevel="1">
      <c r="B4390" s="76"/>
      <c r="C4390" s="2" t="str">
        <f>IF((COUNTIF(C4394:C4404,"Show")+COUNTIF(C4407:C4416,"Show")+COUNTIF(C4419:C4428,"Show"))&gt;0,"Show","Hide")</f>
        <v>Show</v>
      </c>
      <c r="D4390" s="23" t="s">
        <v>117</v>
      </c>
      <c r="E4390" s="13"/>
      <c r="G4390" s="13"/>
    </row>
    <row r="4391" spans="2:9" hidden="1" outlineLevel="1">
      <c r="B4391" s="76"/>
      <c r="C4391" s="9" t="str">
        <f>C4390</f>
        <v>Show</v>
      </c>
      <c r="D4391" s="23"/>
      <c r="E4391" s="13">
        <v>1.1000000000000001</v>
      </c>
      <c r="F4391" s="11" t="s">
        <v>118</v>
      </c>
      <c r="G4391" s="13"/>
    </row>
    <row r="4392" spans="2:9" hidden="1" outlineLevel="1">
      <c r="B4392" s="76"/>
      <c r="C4392" s="9" t="str">
        <f>C4391</f>
        <v>Show</v>
      </c>
      <c r="D4392" s="23"/>
      <c r="E4392" s="13"/>
      <c r="F4392" s="70" t="s">
        <v>119</v>
      </c>
      <c r="G4392" s="18" t="s">
        <v>677</v>
      </c>
    </row>
    <row r="4393" spans="2:9" hidden="1" outlineLevel="1">
      <c r="B4393" s="76"/>
      <c r="C4393" s="9" t="str">
        <f>C4392</f>
        <v>Show</v>
      </c>
      <c r="D4393" s="23"/>
      <c r="E4393" s="13"/>
      <c r="F4393" s="70"/>
      <c r="G4393" s="78" t="s">
        <v>121</v>
      </c>
      <c r="H4393" s="79" t="s">
        <v>2301</v>
      </c>
    </row>
    <row r="4394" spans="2:9" hidden="1" outlineLevel="1">
      <c r="B4394" s="76"/>
      <c r="C4394" s="9" t="str">
        <f>IF(COUNTIF(C4395:C4404,"Show")&gt;0,"Show","Hide")</f>
        <v>Show</v>
      </c>
      <c r="D4394" s="23"/>
      <c r="E4394" s="13">
        <v>1.2</v>
      </c>
      <c r="F4394" s="71" t="s">
        <v>131</v>
      </c>
      <c r="G4394" s="78"/>
    </row>
    <row r="4395" spans="2:9" hidden="1" outlineLevel="1">
      <c r="B4395" s="76"/>
      <c r="C4395" t="str">
        <f>$D$5964</f>
        <v>Show</v>
      </c>
      <c r="D4395" s="23"/>
      <c r="E4395" s="13"/>
      <c r="F4395" s="70" t="s">
        <v>119</v>
      </c>
      <c r="G4395" s="12" t="s">
        <v>3410</v>
      </c>
    </row>
    <row r="4396" spans="2:9" hidden="1" outlineLevel="1">
      <c r="B4396" s="76"/>
      <c r="C4396" s="9" t="str">
        <f>C4395</f>
        <v>Show</v>
      </c>
      <c r="D4396" s="23"/>
      <c r="E4396" s="13"/>
      <c r="F4396" s="70"/>
      <c r="G4396" s="78" t="s">
        <v>121</v>
      </c>
      <c r="H4396" s="75" t="s">
        <v>2335</v>
      </c>
    </row>
    <row r="4397" spans="2:9" hidden="1" outlineLevel="1">
      <c r="B4397" s="76"/>
      <c r="C4397" t="str">
        <f>$D$5965</f>
        <v>Show</v>
      </c>
      <c r="D4397" s="23"/>
      <c r="E4397" s="13"/>
      <c r="F4397" s="70" t="str">
        <f>CHAR(65+(COUNTIF(C$4395:C4396,"Show")/2))&amp;"."</f>
        <v>B.</v>
      </c>
      <c r="G4397" s="12" t="s">
        <v>3414</v>
      </c>
    </row>
    <row r="4398" spans="2:9" hidden="1" outlineLevel="1">
      <c r="B4398" s="76"/>
      <c r="C4398" s="9" t="str">
        <f>C4397</f>
        <v>Show</v>
      </c>
      <c r="D4398" s="23"/>
      <c r="E4398" s="13"/>
      <c r="F4398" s="70"/>
      <c r="G4398" s="78" t="s">
        <v>121</v>
      </c>
      <c r="H4398" s="75" t="s">
        <v>2350</v>
      </c>
    </row>
    <row r="4399" spans="2:9" hidden="1" outlineLevel="1">
      <c r="B4399" s="76"/>
      <c r="C4399" t="str">
        <f>$D$5966</f>
        <v>Show</v>
      </c>
      <c r="D4399" s="23"/>
      <c r="E4399" s="13"/>
      <c r="F4399" s="70" t="str">
        <f>CHAR(65+(COUNTIF(C$4395:C4398,"Show")/2))&amp;"."</f>
        <v>C.</v>
      </c>
      <c r="G4399" s="12" t="s">
        <v>3449</v>
      </c>
    </row>
    <row r="4400" spans="2:9" hidden="1" outlineLevel="1">
      <c r="B4400" s="76"/>
      <c r="C4400" s="9" t="str">
        <f>C4399</f>
        <v>Show</v>
      </c>
      <c r="D4400" s="23"/>
      <c r="E4400" s="13"/>
      <c r="F4400" s="70"/>
      <c r="G4400" s="78" t="s">
        <v>121</v>
      </c>
      <c r="H4400" s="75" t="s">
        <v>2336</v>
      </c>
    </row>
    <row r="4401" spans="2:8" hidden="1" outlineLevel="1">
      <c r="B4401" s="76"/>
      <c r="C4401" t="str">
        <f>$D$5967</f>
        <v>Show</v>
      </c>
      <c r="D4401" s="23"/>
      <c r="E4401" s="13"/>
      <c r="F4401" s="70" t="str">
        <f>CHAR(65+(COUNTIF(C$4395:C4400,"Show")/2))&amp;"."</f>
        <v>D.</v>
      </c>
      <c r="G4401" s="12" t="s">
        <v>3493</v>
      </c>
    </row>
    <row r="4402" spans="2:8" ht="30" hidden="1" outlineLevel="1">
      <c r="B4402" s="76"/>
      <c r="C4402" s="9" t="str">
        <f>C4401</f>
        <v>Show</v>
      </c>
      <c r="D4402" s="23"/>
      <c r="E4402" s="13"/>
      <c r="F4402" s="70"/>
      <c r="G4402" s="78" t="s">
        <v>121</v>
      </c>
      <c r="H4402" s="75" t="s">
        <v>2838</v>
      </c>
    </row>
    <row r="4403" spans="2:8" hidden="1" outlineLevel="1">
      <c r="B4403" s="76"/>
      <c r="C4403" t="str">
        <f>$D$5979</f>
        <v>Show</v>
      </c>
      <c r="D4403" s="23"/>
      <c r="E4403" s="13"/>
      <c r="F4403" s="70" t="str">
        <f>CHAR(65+(COUNTIF(C$4395:C4402,"Show")/2))&amp;"."</f>
        <v>E.</v>
      </c>
      <c r="G4403" s="12" t="s">
        <v>3476</v>
      </c>
    </row>
    <row r="4404" spans="2:8" hidden="1" outlineLevel="1">
      <c r="B4404" s="76"/>
      <c r="C4404" s="9" t="str">
        <f>C4403</f>
        <v>Show</v>
      </c>
      <c r="D4404" s="23"/>
      <c r="E4404" s="13"/>
      <c r="F4404" s="70"/>
      <c r="G4404" s="78" t="s">
        <v>121</v>
      </c>
      <c r="H4404" s="75" t="s">
        <v>2885</v>
      </c>
    </row>
    <row r="4405" spans="2:8" hidden="1" outlineLevel="1">
      <c r="B4405" s="76"/>
      <c r="C4405" s="9" t="str">
        <f>C4390</f>
        <v>Show</v>
      </c>
      <c r="D4405" s="23" t="s">
        <v>613</v>
      </c>
      <c r="E4405" s="13"/>
      <c r="G4405" s="13"/>
    </row>
    <row r="4406" spans="2:8" hidden="1" outlineLevel="1">
      <c r="B4406" s="76"/>
      <c r="C4406" s="9" t="str">
        <f>C4390</f>
        <v>Show</v>
      </c>
      <c r="D4406" s="23"/>
      <c r="E4406" s="12" t="str">
        <f>IF(COUNTIF(C4407:C4416,"Show")&gt;0,"2.1 Product Requirements","No EGC Requirements")</f>
        <v>2.1 Product Requirements</v>
      </c>
      <c r="G4406" s="13"/>
    </row>
    <row r="4407" spans="2:8" hidden="1" outlineLevel="1">
      <c r="B4407" s="76"/>
      <c r="C4407" t="str">
        <f>$E$5964</f>
        <v>Show</v>
      </c>
      <c r="D4407" s="23"/>
      <c r="E4407" s="12"/>
      <c r="F4407" s="70" t="s">
        <v>119</v>
      </c>
      <c r="G4407" s="12" t="s">
        <v>3410</v>
      </c>
    </row>
    <row r="4408" spans="2:8" hidden="1" outlineLevel="1">
      <c r="B4408" s="76"/>
      <c r="C4408" s="9" t="str">
        <f>C4407</f>
        <v>Show</v>
      </c>
      <c r="D4408" s="23"/>
      <c r="E4408" s="12"/>
      <c r="G4408" s="30" t="s">
        <v>121</v>
      </c>
      <c r="H4408" s="75" t="s">
        <v>2337</v>
      </c>
    </row>
    <row r="4409" spans="2:8" hidden="1" outlineLevel="1">
      <c r="B4409" s="76"/>
      <c r="C4409" t="str">
        <f>$E$5965</f>
        <v>Show</v>
      </c>
      <c r="D4409" s="23"/>
      <c r="E4409" s="12"/>
      <c r="F4409" s="70" t="str">
        <f>CHAR(65+(COUNTIF(C$4407:C4408,"Show")/2))&amp;"."</f>
        <v>B.</v>
      </c>
      <c r="G4409" s="12" t="s">
        <v>3414</v>
      </c>
    </row>
    <row r="4410" spans="2:8" hidden="1" outlineLevel="1">
      <c r="B4410" s="76"/>
      <c r="C4410" s="9" t="str">
        <f>C4409</f>
        <v>Show</v>
      </c>
      <c r="D4410" s="23"/>
      <c r="E4410" s="12"/>
      <c r="G4410" s="30" t="s">
        <v>121</v>
      </c>
      <c r="H4410" s="75" t="s">
        <v>2351</v>
      </c>
    </row>
    <row r="4411" spans="2:8" hidden="1" outlineLevel="1">
      <c r="B4411" s="76"/>
      <c r="C4411" t="str">
        <f>$E$5966</f>
        <v>Show</v>
      </c>
      <c r="D4411" s="23"/>
      <c r="E4411" s="12"/>
      <c r="F4411" s="70" t="str">
        <f>CHAR(65+(COUNTIF(C$4407:C4410,"Show")/2))&amp;"."</f>
        <v>C.</v>
      </c>
      <c r="G4411" s="12" t="s">
        <v>3449</v>
      </c>
    </row>
    <row r="4412" spans="2:8" hidden="1" outlineLevel="1">
      <c r="B4412" s="76"/>
      <c r="C4412" s="9" t="str">
        <f>C4411</f>
        <v>Show</v>
      </c>
      <c r="D4412" s="23"/>
      <c r="E4412" s="12"/>
      <c r="G4412" s="30" t="s">
        <v>121</v>
      </c>
      <c r="H4412" s="75" t="s">
        <v>2338</v>
      </c>
    </row>
    <row r="4413" spans="2:8" hidden="1" outlineLevel="1">
      <c r="B4413" s="76"/>
      <c r="C4413" t="str">
        <f>$E$5967</f>
        <v>Show</v>
      </c>
      <c r="D4413" s="23"/>
      <c r="E4413" s="12"/>
      <c r="F4413" s="70" t="str">
        <f>CHAR(65+(COUNTIF(C$4407:C4412,"Show")/2))&amp;"."</f>
        <v>D.</v>
      </c>
      <c r="G4413" s="12" t="s">
        <v>3493</v>
      </c>
    </row>
    <row r="4414" spans="2:8" hidden="1" outlineLevel="1">
      <c r="B4414" s="76"/>
      <c r="C4414" s="9" t="str">
        <f>C4413</f>
        <v>Show</v>
      </c>
      <c r="D4414" s="23"/>
      <c r="E4414" s="12"/>
      <c r="G4414" s="30" t="s">
        <v>121</v>
      </c>
      <c r="H4414" s="75" t="s">
        <v>2839</v>
      </c>
    </row>
    <row r="4415" spans="2:8" hidden="1" outlineLevel="1">
      <c r="B4415" s="76"/>
      <c r="C4415" t="str">
        <f>$E$5979</f>
        <v>Show</v>
      </c>
      <c r="D4415" s="23"/>
      <c r="E4415" s="12"/>
      <c r="F4415" s="70" t="str">
        <f>CHAR(65+(COUNTIF(C$4407:C4414,"Show")/2))&amp;"."</f>
        <v>E.</v>
      </c>
      <c r="G4415" s="12" t="s">
        <v>3476</v>
      </c>
    </row>
    <row r="4416" spans="2:8" hidden="1" outlineLevel="1">
      <c r="B4416" s="76"/>
      <c r="C4416" s="9" t="str">
        <f>C4415</f>
        <v>Show</v>
      </c>
      <c r="D4416" s="23"/>
      <c r="E4416" s="12"/>
      <c r="G4416" s="78" t="s">
        <v>121</v>
      </c>
      <c r="H4416" s="75" t="s">
        <v>2886</v>
      </c>
    </row>
    <row r="4417" spans="2:9" hidden="1" outlineLevel="1">
      <c r="B4417" s="76"/>
      <c r="C4417" s="9" t="str">
        <f>C4390</f>
        <v>Show</v>
      </c>
      <c r="D4417" s="23" t="s">
        <v>187</v>
      </c>
      <c r="E4417" s="13"/>
      <c r="G4417" s="13"/>
    </row>
    <row r="4418" spans="2:9" hidden="1" outlineLevel="1">
      <c r="B4418" s="76"/>
      <c r="C4418" s="9" t="str">
        <f>C4390</f>
        <v>Show</v>
      </c>
      <c r="D4418" s="23"/>
      <c r="E4418" s="12" t="str">
        <f>IF(COUNTIF(C4419:C4428,"Show")&gt;0,"3.1 Execution Requirements","No EGC Requirements")</f>
        <v>3.1 Execution Requirements</v>
      </c>
      <c r="G4418" s="13"/>
    </row>
    <row r="4419" spans="2:9" hidden="1" outlineLevel="1">
      <c r="B4419" s="76"/>
      <c r="C4419" t="str">
        <f>$F$5964</f>
        <v>Show</v>
      </c>
      <c r="D4419" s="23"/>
      <c r="E4419" s="13"/>
      <c r="F4419" s="70" t="s">
        <v>119</v>
      </c>
      <c r="G4419" s="12" t="s">
        <v>3410</v>
      </c>
    </row>
    <row r="4420" spans="2:9" ht="30" hidden="1" outlineLevel="1">
      <c r="B4420" s="76"/>
      <c r="C4420" s="9" t="str">
        <f>C4419</f>
        <v>Show</v>
      </c>
      <c r="D4420" s="23"/>
      <c r="E4420" s="13"/>
      <c r="G4420" s="78" t="s">
        <v>121</v>
      </c>
      <c r="H4420" s="75" t="s">
        <v>2339</v>
      </c>
    </row>
    <row r="4421" spans="2:9" hidden="1" outlineLevel="1">
      <c r="B4421" s="76"/>
      <c r="C4421" t="str">
        <f>$F$5965</f>
        <v>Show</v>
      </c>
      <c r="D4421" s="23"/>
      <c r="E4421" s="13"/>
      <c r="F4421" s="70" t="str">
        <f>CHAR(65+(COUNTIF(C$4419:C4420,"Show")/2))&amp;"."</f>
        <v>B.</v>
      </c>
      <c r="G4421" s="12" t="s">
        <v>3414</v>
      </c>
    </row>
    <row r="4422" spans="2:9" ht="30" hidden="1" outlineLevel="1">
      <c r="B4422" s="76"/>
      <c r="C4422" s="9" t="str">
        <f>C4421</f>
        <v>Show</v>
      </c>
      <c r="D4422" s="23"/>
      <c r="E4422" s="13"/>
      <c r="G4422" s="78" t="s">
        <v>121</v>
      </c>
      <c r="H4422" s="75" t="s">
        <v>2352</v>
      </c>
    </row>
    <row r="4423" spans="2:9" hidden="1" outlineLevel="1">
      <c r="B4423" s="76"/>
      <c r="C4423" t="str">
        <f>$F$5966</f>
        <v>Show</v>
      </c>
      <c r="D4423" s="23"/>
      <c r="E4423" s="13"/>
      <c r="F4423" s="70" t="str">
        <f>CHAR(65+(COUNTIF(C$4419:C4422,"Show")/2))&amp;"."</f>
        <v>C.</v>
      </c>
      <c r="G4423" s="12" t="s">
        <v>3449</v>
      </c>
    </row>
    <row r="4424" spans="2:9" hidden="1" outlineLevel="1">
      <c r="B4424" s="76"/>
      <c r="C4424" s="9" t="str">
        <f>C4423</f>
        <v>Show</v>
      </c>
      <c r="D4424" s="23"/>
      <c r="E4424" s="13"/>
      <c r="G4424" s="78" t="s">
        <v>121</v>
      </c>
      <c r="H4424" s="75" t="s">
        <v>2841</v>
      </c>
    </row>
    <row r="4425" spans="2:9" hidden="1" outlineLevel="1">
      <c r="B4425" s="76"/>
      <c r="C4425" t="str">
        <f>$F$5967</f>
        <v>Show</v>
      </c>
      <c r="D4425" s="23"/>
      <c r="E4425" s="13"/>
      <c r="F4425" s="70" t="str">
        <f>CHAR(65+(COUNTIF(C$4419:C4424,"Show")/2))&amp;"."</f>
        <v>D.</v>
      </c>
      <c r="G4425" s="12" t="s">
        <v>3493</v>
      </c>
    </row>
    <row r="4426" spans="2:9" ht="30" hidden="1" outlineLevel="1">
      <c r="B4426" s="76"/>
      <c r="C4426" s="9" t="str">
        <f>C4425</f>
        <v>Show</v>
      </c>
      <c r="D4426" s="23"/>
      <c r="E4426" s="13"/>
      <c r="G4426" s="78" t="s">
        <v>121</v>
      </c>
      <c r="H4426" s="75" t="s">
        <v>2840</v>
      </c>
    </row>
    <row r="4427" spans="2:9" hidden="1" outlineLevel="1">
      <c r="B4427" s="76"/>
      <c r="C4427" t="str">
        <f>$F$5979</f>
        <v>Show</v>
      </c>
      <c r="D4427" s="23"/>
      <c r="E4427" s="13"/>
      <c r="F4427" s="70" t="str">
        <f>CHAR(65+(COUNTIF(C$4419:C4426,"Show")/2))&amp;"."</f>
        <v>E.</v>
      </c>
      <c r="G4427" s="12" t="s">
        <v>3476</v>
      </c>
    </row>
    <row r="4428" spans="2:9" hidden="1" outlineLevel="1">
      <c r="B4428" s="76"/>
      <c r="C4428" s="9" t="str">
        <f>C4427</f>
        <v>Show</v>
      </c>
      <c r="D4428" s="23"/>
      <c r="E4428" s="13"/>
      <c r="G4428" s="78" t="s">
        <v>121</v>
      </c>
      <c r="H4428" s="75" t="s">
        <v>2887</v>
      </c>
    </row>
    <row r="4429" spans="2:9" hidden="1" outlineLevel="1">
      <c r="B4429" s="76"/>
      <c r="C4429" s="9" t="str">
        <f>C4390</f>
        <v>Show</v>
      </c>
    </row>
    <row r="4430" spans="2:9" collapsed="1">
      <c r="B4430" s="23"/>
      <c r="C4430" s="2" t="str">
        <f>C4431</f>
        <v>Show</v>
      </c>
      <c r="D4430" s="55" t="s">
        <v>310</v>
      </c>
      <c r="E4430" s="60"/>
      <c r="F4430" s="57" t="s">
        <v>311</v>
      </c>
      <c r="G4430" s="53"/>
      <c r="H4430" s="54"/>
      <c r="I4430" s="75"/>
    </row>
    <row r="4431" spans="2:9" hidden="1" outlineLevel="1">
      <c r="B4431" s="76"/>
      <c r="C4431" s="2" t="str">
        <f>IF((COUNTIF(C4435:C4451,"Show")+COUNTIF(C4454:C4467,"Show")+COUNTIF(C4470:C4483,"Show"))&gt;0,"Show","Hide")</f>
        <v>Show</v>
      </c>
      <c r="D4431" s="23" t="s">
        <v>117</v>
      </c>
      <c r="E4431" s="13"/>
      <c r="G4431" s="13"/>
    </row>
    <row r="4432" spans="2:9" hidden="1" outlineLevel="1">
      <c r="B4432" s="76"/>
      <c r="C4432" s="9" t="str">
        <f>C4431</f>
        <v>Show</v>
      </c>
      <c r="D4432" s="23"/>
      <c r="E4432" s="13">
        <v>1.1000000000000001</v>
      </c>
      <c r="F4432" s="11" t="s">
        <v>118</v>
      </c>
      <c r="G4432" s="13"/>
    </row>
    <row r="4433" spans="2:8" hidden="1" outlineLevel="1">
      <c r="B4433" s="76"/>
      <c r="C4433" s="9" t="str">
        <f>C4432</f>
        <v>Show</v>
      </c>
      <c r="D4433" s="23"/>
      <c r="E4433" s="13"/>
      <c r="F4433" s="70" t="s">
        <v>119</v>
      </c>
      <c r="G4433" s="18" t="s">
        <v>677</v>
      </c>
    </row>
    <row r="4434" spans="2:8" hidden="1" outlineLevel="1">
      <c r="B4434" s="76"/>
      <c r="C4434" s="9" t="str">
        <f>C4433</f>
        <v>Show</v>
      </c>
      <c r="D4434" s="23"/>
      <c r="E4434" s="13"/>
      <c r="F4434" s="70"/>
      <c r="G4434" s="78" t="s">
        <v>121</v>
      </c>
      <c r="H4434" s="79" t="s">
        <v>2301</v>
      </c>
    </row>
    <row r="4435" spans="2:8" hidden="1" outlineLevel="1">
      <c r="B4435" s="76"/>
      <c r="C4435" s="9" t="str">
        <f>IF(COUNTIF(C4436:C4451,"Show")&gt;0,"Show","Hide")</f>
        <v>Show</v>
      </c>
      <c r="D4435" s="23"/>
      <c r="E4435" s="13">
        <v>1.2</v>
      </c>
      <c r="F4435" s="71" t="s">
        <v>131</v>
      </c>
      <c r="G4435" s="78"/>
    </row>
    <row r="4436" spans="2:8" hidden="1" outlineLevel="1">
      <c r="B4436" s="76"/>
      <c r="C4436" t="str">
        <f>$D$5956</f>
        <v>Show</v>
      </c>
      <c r="D4436" s="23"/>
      <c r="E4436" s="13"/>
      <c r="F4436" s="70" t="s">
        <v>119</v>
      </c>
      <c r="G4436" s="12" t="s">
        <v>3469</v>
      </c>
    </row>
    <row r="4437" spans="2:8" hidden="1" outlineLevel="1">
      <c r="B4437" s="76"/>
      <c r="C4437" s="9" t="str">
        <f>C4436</f>
        <v>Show</v>
      </c>
      <c r="D4437" s="23"/>
      <c r="E4437" s="13"/>
      <c r="F4437" s="70"/>
      <c r="G4437" s="78" t="s">
        <v>121</v>
      </c>
      <c r="H4437" s="75" t="s">
        <v>2865</v>
      </c>
    </row>
    <row r="4438" spans="2:8" hidden="1" outlineLevel="1">
      <c r="B4438" s="76"/>
      <c r="C4438" t="str">
        <f>$D$5957</f>
        <v>Show</v>
      </c>
      <c r="D4438" s="23"/>
      <c r="E4438" s="13"/>
      <c r="F4438" s="70" t="str">
        <f>CHAR(65+(COUNTIF(C$4436:C4437,"Show")/2))&amp;"."</f>
        <v>B.</v>
      </c>
      <c r="G4438" s="12" t="s">
        <v>3470</v>
      </c>
    </row>
    <row r="4439" spans="2:8" hidden="1" outlineLevel="1">
      <c r="B4439" s="76"/>
      <c r="C4439" s="9" t="str">
        <f>C4438</f>
        <v>Show</v>
      </c>
      <c r="D4439" s="23"/>
      <c r="E4439" s="13"/>
      <c r="F4439" s="70"/>
      <c r="G4439" s="78" t="s">
        <v>121</v>
      </c>
      <c r="H4439" s="75" t="s">
        <v>2866</v>
      </c>
    </row>
    <row r="4440" spans="2:8" hidden="1" outlineLevel="1">
      <c r="B4440" s="76"/>
      <c r="C4440" t="str">
        <f>$D$5960</f>
        <v>Show</v>
      </c>
      <c r="D4440" s="23"/>
      <c r="E4440" s="13"/>
      <c r="F4440" s="70" t="str">
        <f>CHAR(65+(COUNTIF(C$4436:C4439,"Show")/2))&amp;"."</f>
        <v>C.</v>
      </c>
      <c r="G4440" s="12" t="s">
        <v>3468</v>
      </c>
    </row>
    <row r="4441" spans="2:8" hidden="1" outlineLevel="1">
      <c r="B4441" s="76"/>
      <c r="C4441" s="9" t="str">
        <f>C4440</f>
        <v>Show</v>
      </c>
      <c r="D4441" s="23"/>
      <c r="E4441" s="13"/>
      <c r="F4441" s="70"/>
      <c r="G4441" s="78" t="s">
        <v>121</v>
      </c>
      <c r="H4441" s="75" t="s">
        <v>2862</v>
      </c>
    </row>
    <row r="4442" spans="2:8" hidden="1" outlineLevel="1">
      <c r="B4442" s="76"/>
      <c r="C4442" t="str">
        <f>$D$5964</f>
        <v>Show</v>
      </c>
      <c r="D4442" s="23"/>
      <c r="E4442" s="13"/>
      <c r="F4442" s="70" t="str">
        <f>CHAR(65+(COUNTIF(C$4436:C4441,"Show")/2))&amp;"."</f>
        <v>D.</v>
      </c>
      <c r="G4442" s="12" t="s">
        <v>3410</v>
      </c>
    </row>
    <row r="4443" spans="2:8" hidden="1" outlineLevel="1">
      <c r="B4443" s="76"/>
      <c r="C4443" s="9" t="str">
        <f>C4442</f>
        <v>Show</v>
      </c>
      <c r="D4443" s="23"/>
      <c r="E4443" s="13"/>
      <c r="F4443" s="70"/>
      <c r="G4443" s="78" t="s">
        <v>121</v>
      </c>
      <c r="H4443" s="75" t="s">
        <v>2335</v>
      </c>
    </row>
    <row r="4444" spans="2:8" hidden="1" outlineLevel="1">
      <c r="B4444" s="76"/>
      <c r="C4444" t="str">
        <f>$D$5966</f>
        <v>Show</v>
      </c>
      <c r="D4444" s="23"/>
      <c r="E4444" s="13"/>
      <c r="F4444" s="70" t="str">
        <f>CHAR(65+(COUNTIF(C$4436:C4443,"Show")/2))&amp;"."</f>
        <v>E.</v>
      </c>
      <c r="G4444" s="12" t="s">
        <v>3449</v>
      </c>
    </row>
    <row r="4445" spans="2:8" hidden="1" outlineLevel="1">
      <c r="B4445" s="76"/>
      <c r="C4445" s="9" t="str">
        <f>C4444</f>
        <v>Show</v>
      </c>
      <c r="D4445" s="23"/>
      <c r="E4445" s="13"/>
      <c r="F4445" s="70"/>
      <c r="G4445" s="78" t="s">
        <v>121</v>
      </c>
      <c r="H4445" s="75" t="s">
        <v>2336</v>
      </c>
    </row>
    <row r="4446" spans="2:8" hidden="1" outlineLevel="1">
      <c r="B4446" s="76"/>
      <c r="C4446" t="str">
        <f>$D$5974</f>
        <v>Show</v>
      </c>
      <c r="D4446" s="23"/>
      <c r="E4446" s="13"/>
      <c r="F4446" s="70" t="str">
        <f>CHAR(65+(COUNTIF(C$4436:C4445,"Show")/2))&amp;"."</f>
        <v>F.</v>
      </c>
      <c r="G4446" s="12" t="s">
        <v>3407</v>
      </c>
    </row>
    <row r="4447" spans="2:8" ht="30" hidden="1" outlineLevel="1">
      <c r="B4447" s="76"/>
      <c r="C4447" s="9" t="str">
        <f>C4446</f>
        <v>Show</v>
      </c>
      <c r="D4447" s="23"/>
      <c r="E4447" s="13"/>
      <c r="F4447" s="70"/>
      <c r="G4447" s="78" t="s">
        <v>121</v>
      </c>
      <c r="H4447" s="75" t="s">
        <v>2844</v>
      </c>
    </row>
    <row r="4448" spans="2:8" hidden="1" outlineLevel="1">
      <c r="B4448" s="76"/>
      <c r="C4448" t="str">
        <f>$D$5992</f>
        <v>Show</v>
      </c>
      <c r="D4448" s="23"/>
      <c r="E4448" s="13"/>
      <c r="F4448" s="70" t="str">
        <f>CHAR(65+(COUNTIF(C$4436:C4447,"Show")/2))&amp;"."</f>
        <v>G.</v>
      </c>
      <c r="G4448" s="12" t="s">
        <v>3447</v>
      </c>
    </row>
    <row r="4449" spans="2:8" ht="30" hidden="1" outlineLevel="1">
      <c r="B4449" s="76"/>
      <c r="C4449" s="9" t="str">
        <f>C4448</f>
        <v>Show</v>
      </c>
      <c r="D4449" s="23"/>
      <c r="E4449" s="13"/>
      <c r="F4449" s="70"/>
      <c r="G4449" s="78" t="s">
        <v>121</v>
      </c>
      <c r="H4449" s="75" t="s">
        <v>2888</v>
      </c>
    </row>
    <row r="4450" spans="2:8" ht="30" hidden="1" outlineLevel="1">
      <c r="B4450" s="76"/>
      <c r="C4450" t="str">
        <f>$D$5993</f>
        <v>Show</v>
      </c>
      <c r="D4450" s="23"/>
      <c r="E4450" s="13"/>
      <c r="F4450" s="70" t="str">
        <f>CHAR(65+(COUNTIF(C$4436:C4449,"Show")/2))&amp;"."</f>
        <v>H.</v>
      </c>
      <c r="H4450" s="123" t="s">
        <v>3437</v>
      </c>
    </row>
    <row r="4451" spans="2:8" ht="30" hidden="1" outlineLevel="1">
      <c r="B4451" s="76"/>
      <c r="C4451" s="9" t="str">
        <f>C4450</f>
        <v>Show</v>
      </c>
      <c r="D4451" s="23"/>
      <c r="E4451" s="13"/>
      <c r="F4451" s="70"/>
      <c r="G4451" s="78" t="s">
        <v>121</v>
      </c>
      <c r="H4451" s="75" t="s">
        <v>2889</v>
      </c>
    </row>
    <row r="4452" spans="2:8" hidden="1" outlineLevel="1">
      <c r="B4452" s="76"/>
      <c r="C4452" s="9" t="str">
        <f>C4431</f>
        <v>Show</v>
      </c>
      <c r="D4452" s="23" t="s">
        <v>613</v>
      </c>
      <c r="E4452" s="13"/>
      <c r="G4452" s="13"/>
    </row>
    <row r="4453" spans="2:8" hidden="1" outlineLevel="1">
      <c r="B4453" s="76"/>
      <c r="C4453" s="9" t="str">
        <f>C4431</f>
        <v>Show</v>
      </c>
      <c r="D4453" s="23"/>
      <c r="E4453" s="12" t="str">
        <f>IF(COUNTIF(C4454:C4467,"Show")&gt;0,"2.1 Product Requirements","No EGC Requirements")</f>
        <v>2.1 Product Requirements</v>
      </c>
      <c r="G4453" s="13"/>
    </row>
    <row r="4454" spans="2:8" hidden="1" outlineLevel="1">
      <c r="B4454" s="76"/>
      <c r="C4454" t="str">
        <f>$E$5956</f>
        <v>Show</v>
      </c>
      <c r="D4454" s="23"/>
      <c r="E4454" s="12"/>
      <c r="F4454" s="70" t="s">
        <v>119</v>
      </c>
      <c r="G4454" s="12" t="s">
        <v>3469</v>
      </c>
    </row>
    <row r="4455" spans="2:8" hidden="1" outlineLevel="1">
      <c r="B4455" s="76"/>
      <c r="C4455" s="9" t="str">
        <f>C4454</f>
        <v>Show</v>
      </c>
      <c r="D4455" s="23"/>
      <c r="E4455" s="12"/>
      <c r="G4455" s="30" t="s">
        <v>121</v>
      </c>
      <c r="H4455" s="75" t="s">
        <v>2869</v>
      </c>
    </row>
    <row r="4456" spans="2:8" hidden="1" outlineLevel="1">
      <c r="B4456" s="76"/>
      <c r="C4456" t="str">
        <f>$E$5957</f>
        <v>Show</v>
      </c>
      <c r="D4456" s="23"/>
      <c r="E4456" s="12"/>
      <c r="F4456" s="70" t="str">
        <f>CHAR(65+(COUNTIF(C$4454:C4455,"Show")/2))&amp;"."</f>
        <v>B.</v>
      </c>
      <c r="G4456" s="12" t="s">
        <v>3470</v>
      </c>
    </row>
    <row r="4457" spans="2:8" hidden="1" outlineLevel="1">
      <c r="B4457" s="76"/>
      <c r="C4457" s="9" t="str">
        <f>C4456</f>
        <v>Show</v>
      </c>
      <c r="D4457" s="23"/>
      <c r="E4457" s="12"/>
      <c r="G4457" s="30" t="s">
        <v>121</v>
      </c>
      <c r="H4457" s="75" t="s">
        <v>2870</v>
      </c>
    </row>
    <row r="4458" spans="2:8" hidden="1" outlineLevel="1">
      <c r="B4458" s="76"/>
      <c r="C4458" t="str">
        <f>$E$5960</f>
        <v>Show</v>
      </c>
      <c r="D4458" s="23"/>
      <c r="E4458" s="12"/>
      <c r="F4458" s="70" t="str">
        <f>CHAR(65+(COUNTIF(C$4454:C4457,"Show")/2))&amp;"."</f>
        <v>C.</v>
      </c>
      <c r="G4458" s="12" t="s">
        <v>3468</v>
      </c>
    </row>
    <row r="4459" spans="2:8" hidden="1" outlineLevel="1">
      <c r="B4459" s="76"/>
      <c r="C4459" s="9" t="str">
        <f>C4458</f>
        <v>Show</v>
      </c>
      <c r="D4459" s="23"/>
      <c r="E4459" s="12"/>
      <c r="G4459" s="30" t="s">
        <v>121</v>
      </c>
      <c r="H4459" s="75" t="s">
        <v>2863</v>
      </c>
    </row>
    <row r="4460" spans="2:8" hidden="1" outlineLevel="1">
      <c r="B4460" s="76"/>
      <c r="C4460" t="str">
        <f>$E$5964</f>
        <v>Show</v>
      </c>
      <c r="D4460" s="23"/>
      <c r="E4460" s="12"/>
      <c r="F4460" s="70" t="str">
        <f>CHAR(65+(COUNTIF(C$4454:C4459,"Show")/2))&amp;"."</f>
        <v>D.</v>
      </c>
      <c r="G4460" s="12" t="s">
        <v>3410</v>
      </c>
    </row>
    <row r="4461" spans="2:8" hidden="1" outlineLevel="1">
      <c r="B4461" s="76"/>
      <c r="C4461" s="9" t="str">
        <f>C4460</f>
        <v>Show</v>
      </c>
      <c r="D4461" s="23"/>
      <c r="E4461" s="12"/>
      <c r="G4461" s="30" t="s">
        <v>121</v>
      </c>
      <c r="H4461" s="75" t="s">
        <v>2337</v>
      </c>
    </row>
    <row r="4462" spans="2:8" hidden="1" outlineLevel="1">
      <c r="B4462" s="76"/>
      <c r="C4462" t="str">
        <f>$E$5966</f>
        <v>Show</v>
      </c>
      <c r="D4462" s="23"/>
      <c r="E4462" s="12"/>
      <c r="F4462" s="70" t="str">
        <f>CHAR(65+(COUNTIF(C$4454:C4461,"Show")/2))&amp;"."</f>
        <v>E.</v>
      </c>
      <c r="G4462" s="12" t="s">
        <v>3449</v>
      </c>
    </row>
    <row r="4463" spans="2:8" hidden="1" outlineLevel="1">
      <c r="B4463" s="76"/>
      <c r="C4463" s="9" t="str">
        <f>C4462</f>
        <v>Show</v>
      </c>
      <c r="D4463" s="23"/>
      <c r="E4463" s="12"/>
      <c r="G4463" s="78" t="s">
        <v>121</v>
      </c>
      <c r="H4463" s="75" t="s">
        <v>2338</v>
      </c>
    </row>
    <row r="4464" spans="2:8" hidden="1" outlineLevel="1">
      <c r="B4464" s="76"/>
      <c r="C4464" t="str">
        <f>$E$5974</f>
        <v>Show</v>
      </c>
      <c r="D4464" s="23"/>
      <c r="E4464" s="12"/>
      <c r="F4464" s="70" t="str">
        <f>CHAR(65+(COUNTIF(C$4454:C4463,"Show")/2))&amp;"."</f>
        <v>F.</v>
      </c>
      <c r="G4464" s="12" t="s">
        <v>3407</v>
      </c>
    </row>
    <row r="4465" spans="2:8" ht="30" hidden="1" outlineLevel="1">
      <c r="B4465" s="76"/>
      <c r="C4465" s="9" t="str">
        <f>C4464</f>
        <v>Show</v>
      </c>
      <c r="D4465" s="23"/>
      <c r="E4465" s="12"/>
      <c r="G4465" s="78" t="s">
        <v>121</v>
      </c>
      <c r="H4465" s="75" t="s">
        <v>2845</v>
      </c>
    </row>
    <row r="4466" spans="2:8" ht="30" hidden="1" outlineLevel="1">
      <c r="B4466" s="76"/>
      <c r="C4466" t="str">
        <f>$E$5993</f>
        <v>Show</v>
      </c>
      <c r="D4466" s="23"/>
      <c r="E4466" s="12"/>
      <c r="F4466" s="70" t="str">
        <f>CHAR(65+(COUNTIF(C$4454:C4465,"Show")/2))&amp;"."</f>
        <v>G.</v>
      </c>
      <c r="H4466" s="123" t="s">
        <v>3437</v>
      </c>
    </row>
    <row r="4467" spans="2:8" ht="30" hidden="1" outlineLevel="1">
      <c r="B4467" s="76"/>
      <c r="C4467" s="9" t="str">
        <f>C4466</f>
        <v>Show</v>
      </c>
      <c r="D4467" s="23"/>
      <c r="E4467" s="12"/>
      <c r="G4467" s="78" t="s">
        <v>121</v>
      </c>
      <c r="H4467" s="75" t="s">
        <v>2890</v>
      </c>
    </row>
    <row r="4468" spans="2:8" hidden="1" outlineLevel="1">
      <c r="B4468" s="76"/>
      <c r="C4468" s="9" t="str">
        <f>C4431</f>
        <v>Show</v>
      </c>
      <c r="D4468" s="23" t="s">
        <v>187</v>
      </c>
      <c r="E4468" s="13"/>
      <c r="G4468" s="13"/>
    </row>
    <row r="4469" spans="2:8" hidden="1" outlineLevel="1">
      <c r="B4469" s="76"/>
      <c r="C4469" s="9" t="str">
        <f>C4431</f>
        <v>Show</v>
      </c>
      <c r="D4469" s="23"/>
      <c r="E4469" s="12" t="str">
        <f>IF(COUNTIF(C4470:C4483,"Show")&gt;0,"3.1 Execution Requirements","No EGC Requirements")</f>
        <v>3.1 Execution Requirements</v>
      </c>
      <c r="G4469" s="13"/>
    </row>
    <row r="4470" spans="2:8" hidden="1" outlineLevel="1">
      <c r="B4470" s="76"/>
      <c r="C4470" t="str">
        <f>$F$5956</f>
        <v>Show</v>
      </c>
      <c r="D4470" s="23"/>
      <c r="E4470" s="13"/>
      <c r="F4470" s="70" t="s">
        <v>119</v>
      </c>
      <c r="G4470" s="12" t="s">
        <v>3469</v>
      </c>
    </row>
    <row r="4471" spans="2:8" hidden="1" outlineLevel="1">
      <c r="B4471" s="76"/>
      <c r="C4471" s="9" t="str">
        <f>C4470</f>
        <v>Show</v>
      </c>
      <c r="D4471" s="23"/>
      <c r="E4471" s="13"/>
      <c r="G4471" s="78" t="s">
        <v>121</v>
      </c>
      <c r="H4471" s="75" t="s">
        <v>2873</v>
      </c>
    </row>
    <row r="4472" spans="2:8" hidden="1" outlineLevel="1">
      <c r="B4472" s="76"/>
      <c r="C4472" t="str">
        <f>$F$5960</f>
        <v>Show</v>
      </c>
      <c r="D4472" s="23"/>
      <c r="E4472" s="13"/>
      <c r="F4472" s="70" t="str">
        <f>CHAR(65+(COUNTIF(C$4470:C4471,"Show")/2))&amp;"."</f>
        <v>B.</v>
      </c>
      <c r="G4472" s="12" t="s">
        <v>3468</v>
      </c>
    </row>
    <row r="4473" spans="2:8" hidden="1" outlineLevel="1">
      <c r="B4473" s="76"/>
      <c r="C4473" s="9" t="str">
        <f>C4472</f>
        <v>Show</v>
      </c>
      <c r="D4473" s="23"/>
      <c r="E4473" s="13"/>
      <c r="G4473" s="78" t="s">
        <v>121</v>
      </c>
      <c r="H4473" s="75" t="s">
        <v>2864</v>
      </c>
    </row>
    <row r="4474" spans="2:8" hidden="1" outlineLevel="1">
      <c r="B4474" s="76"/>
      <c r="C4474" t="str">
        <f>$F$5964</f>
        <v>Show</v>
      </c>
      <c r="D4474" s="23"/>
      <c r="E4474" s="13"/>
      <c r="F4474" s="70" t="str">
        <f>CHAR(65+(COUNTIF(C$4470:C4473,"Show")/2))&amp;"."</f>
        <v>C.</v>
      </c>
      <c r="G4474" s="12" t="s">
        <v>3410</v>
      </c>
    </row>
    <row r="4475" spans="2:8" ht="30" hidden="1" outlineLevel="1">
      <c r="B4475" s="76"/>
      <c r="C4475" s="9" t="str">
        <f>C4474</f>
        <v>Show</v>
      </c>
      <c r="D4475" s="23"/>
      <c r="E4475" s="13"/>
      <c r="G4475" s="78" t="s">
        <v>121</v>
      </c>
      <c r="H4475" s="75" t="s">
        <v>2339</v>
      </c>
    </row>
    <row r="4476" spans="2:8" hidden="1" outlineLevel="1">
      <c r="B4476" s="76"/>
      <c r="C4476" t="str">
        <f>$F$5966</f>
        <v>Show</v>
      </c>
      <c r="D4476" s="23"/>
      <c r="E4476" s="13"/>
      <c r="F4476" s="70" t="str">
        <f>CHAR(65+(COUNTIF(C$4470:C4475,"Show")/2))&amp;"."</f>
        <v>D.</v>
      </c>
      <c r="G4476" s="12" t="s">
        <v>3449</v>
      </c>
    </row>
    <row r="4477" spans="2:8" hidden="1" outlineLevel="1">
      <c r="B4477" s="76"/>
      <c r="C4477" s="9" t="str">
        <f>C4476</f>
        <v>Show</v>
      </c>
      <c r="D4477" s="23"/>
      <c r="E4477" s="13"/>
      <c r="G4477" s="78" t="s">
        <v>121</v>
      </c>
      <c r="H4477" s="75" t="s">
        <v>2340</v>
      </c>
    </row>
    <row r="4478" spans="2:8" hidden="1" outlineLevel="1">
      <c r="B4478" s="76"/>
      <c r="C4478" t="str">
        <f>$F$5974</f>
        <v>Show</v>
      </c>
      <c r="D4478" s="23"/>
      <c r="E4478" s="13"/>
      <c r="F4478" s="70" t="str">
        <f>CHAR(65+(COUNTIF(C$4470:C4477,"Show")/2))&amp;"."</f>
        <v>E.</v>
      </c>
      <c r="G4478" s="12" t="s">
        <v>3407</v>
      </c>
    </row>
    <row r="4479" spans="2:8" ht="30" hidden="1" outlineLevel="1">
      <c r="B4479" s="76"/>
      <c r="C4479" s="9" t="str">
        <f>C4478</f>
        <v>Show</v>
      </c>
      <c r="D4479" s="23"/>
      <c r="E4479" s="13"/>
      <c r="G4479" s="78" t="s">
        <v>121</v>
      </c>
      <c r="H4479" s="75" t="s">
        <v>2846</v>
      </c>
    </row>
    <row r="4480" spans="2:8" hidden="1" outlineLevel="1">
      <c r="B4480" s="76"/>
      <c r="C4480" t="str">
        <f>$F$5992</f>
        <v>Show</v>
      </c>
      <c r="D4480" s="23"/>
      <c r="E4480" s="13"/>
      <c r="F4480" s="70" t="str">
        <f>CHAR(65+(COUNTIF(C$4470:C4479,"Show")/2))&amp;"."</f>
        <v>F.</v>
      </c>
      <c r="G4480" s="12" t="s">
        <v>3447</v>
      </c>
    </row>
    <row r="4481" spans="2:9" ht="30" hidden="1" outlineLevel="1">
      <c r="B4481" s="76"/>
      <c r="C4481" s="9" t="str">
        <f>C4480</f>
        <v>Show</v>
      </c>
      <c r="D4481" s="23"/>
      <c r="E4481" s="13"/>
      <c r="G4481" s="78" t="s">
        <v>121</v>
      </c>
      <c r="H4481" s="75" t="s">
        <v>2891</v>
      </c>
    </row>
    <row r="4482" spans="2:9" ht="30" hidden="1" outlineLevel="1">
      <c r="B4482" s="76"/>
      <c r="C4482" t="str">
        <f>$F$5993</f>
        <v>Show</v>
      </c>
      <c r="D4482" s="23"/>
      <c r="E4482" s="13"/>
      <c r="F4482" s="70" t="str">
        <f>CHAR(65+(COUNTIF(C$4470:C4481,"Show")/2))&amp;"."</f>
        <v>G.</v>
      </c>
      <c r="H4482" s="123" t="s">
        <v>3437</v>
      </c>
    </row>
    <row r="4483" spans="2:9" ht="30" hidden="1" outlineLevel="1">
      <c r="B4483" s="76"/>
      <c r="C4483" s="9" t="str">
        <f>C4482</f>
        <v>Show</v>
      </c>
      <c r="D4483" s="23"/>
      <c r="E4483" s="13"/>
      <c r="G4483" s="78" t="s">
        <v>121</v>
      </c>
      <c r="H4483" s="75" t="s">
        <v>2892</v>
      </c>
    </row>
    <row r="4484" spans="2:9" hidden="1" outlineLevel="1">
      <c r="B4484" s="76"/>
      <c r="C4484" s="9" t="str">
        <f>C4431</f>
        <v>Show</v>
      </c>
      <c r="F4484" s="70"/>
    </row>
    <row r="4485" spans="2:9" collapsed="1">
      <c r="B4485" s="23"/>
      <c r="C4485" s="2" t="str">
        <f>C4486</f>
        <v>Show</v>
      </c>
      <c r="D4485" s="60" t="s">
        <v>1239</v>
      </c>
      <c r="E4485" s="60"/>
      <c r="F4485" s="56" t="s">
        <v>603</v>
      </c>
      <c r="G4485" s="53"/>
      <c r="H4485" s="54"/>
      <c r="I4485" s="75"/>
    </row>
    <row r="4486" spans="2:9" hidden="1" outlineLevel="1">
      <c r="B4486" s="76"/>
      <c r="C4486" s="2" t="str">
        <f>IF((COUNTIF(C4490:C4492,"Show")+COUNTIF(C4495:C4496,"Show")+COUNTIF(C4499:C4500,"Show"))&gt;0,"Show","Hide")</f>
        <v>Show</v>
      </c>
      <c r="D4486" s="23" t="s">
        <v>117</v>
      </c>
      <c r="E4486" s="13"/>
      <c r="G4486" s="13"/>
    </row>
    <row r="4487" spans="2:9" hidden="1" outlineLevel="1">
      <c r="B4487" s="76"/>
      <c r="C4487" s="9" t="str">
        <f>C4486</f>
        <v>Show</v>
      </c>
      <c r="D4487" s="23"/>
      <c r="E4487" s="13">
        <v>1.1000000000000001</v>
      </c>
      <c r="F4487" s="11" t="s">
        <v>118</v>
      </c>
      <c r="G4487" s="13"/>
    </row>
    <row r="4488" spans="2:9" hidden="1" outlineLevel="1">
      <c r="B4488" s="76"/>
      <c r="C4488" s="9" t="str">
        <f>C4487</f>
        <v>Show</v>
      </c>
      <c r="D4488" s="23"/>
      <c r="E4488" s="13"/>
      <c r="F4488" s="70" t="s">
        <v>119</v>
      </c>
      <c r="G4488" s="18" t="s">
        <v>677</v>
      </c>
    </row>
    <row r="4489" spans="2:9" hidden="1" outlineLevel="1">
      <c r="B4489" s="76"/>
      <c r="C4489" s="9" t="str">
        <f>C4488</f>
        <v>Show</v>
      </c>
      <c r="D4489" s="23"/>
      <c r="E4489" s="13"/>
      <c r="F4489" s="70"/>
      <c r="G4489" s="78" t="s">
        <v>121</v>
      </c>
      <c r="H4489" s="79" t="s">
        <v>2301</v>
      </c>
    </row>
    <row r="4490" spans="2:9" hidden="1" outlineLevel="1">
      <c r="B4490" s="76"/>
      <c r="C4490" s="9" t="str">
        <f>IF(COUNTIF(C4491:C4492,"Show")&gt;0,"Show","Hide")</f>
        <v>Show</v>
      </c>
      <c r="D4490" s="23"/>
      <c r="E4490" s="13">
        <v>1.2</v>
      </c>
      <c r="F4490" s="71" t="s">
        <v>131</v>
      </c>
      <c r="G4490" s="78"/>
    </row>
    <row r="4491" spans="2:9" hidden="1" outlineLevel="1">
      <c r="B4491" s="76"/>
      <c r="C4491" t="str">
        <f>$D$5958</f>
        <v>Show</v>
      </c>
      <c r="D4491" s="23"/>
      <c r="E4491" s="13"/>
      <c r="F4491" s="70" t="s">
        <v>119</v>
      </c>
      <c r="G4491" s="12" t="s">
        <v>3403</v>
      </c>
    </row>
    <row r="4492" spans="2:9" hidden="1" outlineLevel="1">
      <c r="B4492" s="76"/>
      <c r="C4492" s="9" t="str">
        <f>C4491</f>
        <v>Show</v>
      </c>
      <c r="D4492" s="23"/>
      <c r="E4492" s="13"/>
      <c r="F4492" s="70"/>
      <c r="G4492" s="78" t="s">
        <v>121</v>
      </c>
      <c r="H4492" s="75" t="s">
        <v>2867</v>
      </c>
    </row>
    <row r="4493" spans="2:9" hidden="1" outlineLevel="1">
      <c r="B4493" s="76"/>
      <c r="C4493" s="9" t="str">
        <f>C4486</f>
        <v>Show</v>
      </c>
      <c r="D4493" s="23" t="s">
        <v>613</v>
      </c>
      <c r="E4493" s="13"/>
      <c r="G4493" s="13"/>
    </row>
    <row r="4494" spans="2:9" hidden="1" outlineLevel="1">
      <c r="B4494" s="76"/>
      <c r="C4494" s="9" t="str">
        <f>C4486</f>
        <v>Show</v>
      </c>
      <c r="D4494" s="23"/>
      <c r="E4494" s="12" t="str">
        <f>IF(COUNTIF(C4495:C4496,"Show")&gt;0,"2.1 Product Requirements","No EGC Requirements")</f>
        <v>2.1 Product Requirements</v>
      </c>
      <c r="G4494" s="13"/>
    </row>
    <row r="4495" spans="2:9" hidden="1" outlineLevel="1">
      <c r="B4495" s="76"/>
      <c r="C4495" t="str">
        <f>$E$5958</f>
        <v>Show</v>
      </c>
      <c r="D4495" s="23"/>
      <c r="E4495" s="12"/>
      <c r="F4495" s="70" t="s">
        <v>119</v>
      </c>
      <c r="G4495" s="12" t="s">
        <v>3403</v>
      </c>
    </row>
    <row r="4496" spans="2:9" hidden="1" outlineLevel="1">
      <c r="B4496" s="76"/>
      <c r="C4496" s="9" t="str">
        <f>C4495</f>
        <v>Show</v>
      </c>
      <c r="D4496" s="23"/>
      <c r="E4496" s="12"/>
      <c r="G4496" s="30" t="s">
        <v>121</v>
      </c>
      <c r="H4496" s="75" t="s">
        <v>2871</v>
      </c>
    </row>
    <row r="4497" spans="2:9" hidden="1" outlineLevel="1">
      <c r="B4497" s="76"/>
      <c r="C4497" s="9" t="str">
        <f>C4486</f>
        <v>Show</v>
      </c>
      <c r="D4497" s="23" t="s">
        <v>187</v>
      </c>
      <c r="E4497" s="13"/>
      <c r="G4497" s="13"/>
    </row>
    <row r="4498" spans="2:9" hidden="1" outlineLevel="1">
      <c r="B4498" s="76"/>
      <c r="C4498" s="9" t="str">
        <f>C4486</f>
        <v>Show</v>
      </c>
      <c r="D4498" s="23"/>
      <c r="E4498" s="12" t="str">
        <f>IF(COUNTIF(C4499:C4500,"Show")&gt;0,"3.1 Execution Requirements","No EGC Requirements")</f>
        <v>3.1 Execution Requirements</v>
      </c>
      <c r="G4498" s="13"/>
    </row>
    <row r="4499" spans="2:9" hidden="1" outlineLevel="1">
      <c r="B4499" s="76"/>
      <c r="C4499" t="str">
        <f>$F$5958</f>
        <v>Show</v>
      </c>
      <c r="D4499" s="23"/>
      <c r="E4499" s="13"/>
      <c r="F4499" s="70" t="s">
        <v>119</v>
      </c>
      <c r="G4499" s="12" t="s">
        <v>3403</v>
      </c>
    </row>
    <row r="4500" spans="2:9" hidden="1" outlineLevel="1">
      <c r="B4500" s="76"/>
      <c r="C4500" s="9" t="str">
        <f>C4499</f>
        <v>Show</v>
      </c>
      <c r="D4500" s="23"/>
      <c r="E4500" s="13"/>
      <c r="G4500" s="78" t="s">
        <v>121</v>
      </c>
      <c r="H4500" s="75" t="s">
        <v>2874</v>
      </c>
    </row>
    <row r="4501" spans="2:9" hidden="1" outlineLevel="1">
      <c r="B4501" s="76"/>
      <c r="C4501" s="9" t="str">
        <f>C4486</f>
        <v>Show</v>
      </c>
      <c r="F4501" s="70"/>
    </row>
    <row r="4502" spans="2:9" collapsed="1">
      <c r="B4502" s="76"/>
      <c r="C4502" s="7" t="s">
        <v>116</v>
      </c>
      <c r="E4502" s="132"/>
      <c r="F4502" s="12"/>
      <c r="G4502" s="69"/>
      <c r="I4502" s="75"/>
    </row>
    <row r="4503" spans="2:9">
      <c r="B4503" s="76"/>
      <c r="C4503" s="7" t="s">
        <v>116</v>
      </c>
      <c r="D4503" s="38" t="s">
        <v>559</v>
      </c>
      <c r="E4503" s="45"/>
      <c r="F4503" s="46"/>
      <c r="G4503" s="39"/>
      <c r="H4503" s="41"/>
      <c r="I4503" s="75"/>
    </row>
    <row r="4504" spans="2:9">
      <c r="B4504" s="23"/>
      <c r="C4504" s="2" t="str">
        <f>C4505</f>
        <v>Show</v>
      </c>
      <c r="D4504" s="55" t="s">
        <v>1710</v>
      </c>
      <c r="E4504" s="55"/>
      <c r="F4504" s="57" t="s">
        <v>1707</v>
      </c>
      <c r="G4504" s="53"/>
      <c r="H4504" s="54"/>
      <c r="I4504" s="75"/>
    </row>
    <row r="4505" spans="2:9" hidden="1" outlineLevel="1">
      <c r="B4505" s="76"/>
      <c r="C4505" s="2" t="str">
        <f>IF((COUNTIF(C4509:C4515,"Show")+COUNTIF(C4518:C4521,"Show")+COUNTIF(C4524:C4527,"Show"))&gt;0,"Show","Hide")</f>
        <v>Show</v>
      </c>
      <c r="D4505" s="23" t="s">
        <v>117</v>
      </c>
      <c r="E4505" s="13"/>
      <c r="G4505" s="13"/>
    </row>
    <row r="4506" spans="2:9" hidden="1" outlineLevel="1">
      <c r="B4506" s="76"/>
      <c r="C4506" s="9" t="str">
        <f>C4505</f>
        <v>Show</v>
      </c>
      <c r="D4506" s="23"/>
      <c r="E4506" s="13">
        <v>1.1000000000000001</v>
      </c>
      <c r="F4506" s="11" t="s">
        <v>118</v>
      </c>
      <c r="G4506" s="13"/>
    </row>
    <row r="4507" spans="2:9" hidden="1" outlineLevel="1">
      <c r="B4507" s="76"/>
      <c r="C4507" s="9" t="str">
        <f>C4506</f>
        <v>Show</v>
      </c>
      <c r="D4507" s="23"/>
      <c r="E4507" s="13"/>
      <c r="F4507" s="70" t="s">
        <v>119</v>
      </c>
      <c r="G4507" s="18" t="s">
        <v>677</v>
      </c>
    </row>
    <row r="4508" spans="2:9" hidden="1" outlineLevel="1">
      <c r="B4508" s="76"/>
      <c r="C4508" s="9" t="str">
        <f>C4507</f>
        <v>Show</v>
      </c>
      <c r="D4508" s="23"/>
      <c r="E4508" s="13"/>
      <c r="F4508" s="70"/>
      <c r="G4508" s="78" t="s">
        <v>121</v>
      </c>
      <c r="H4508" s="79" t="s">
        <v>2301</v>
      </c>
    </row>
    <row r="4509" spans="2:9" hidden="1" outlineLevel="1">
      <c r="B4509" s="76"/>
      <c r="C4509" s="9" t="str">
        <f>IF(COUNTIF(C4510:C4515,"Show")&gt;0,"Show","Hide")</f>
        <v>Show</v>
      </c>
      <c r="D4509" s="23"/>
      <c r="E4509" s="13">
        <v>1.2</v>
      </c>
      <c r="F4509" s="71" t="s">
        <v>131</v>
      </c>
      <c r="G4509" s="78"/>
    </row>
    <row r="4510" spans="2:9" hidden="1" outlineLevel="1">
      <c r="B4510" s="76"/>
      <c r="C4510" t="str">
        <f>$D$5982</f>
        <v>Show</v>
      </c>
      <c r="D4510" s="23"/>
      <c r="E4510" s="13"/>
      <c r="F4510" s="70" t="s">
        <v>119</v>
      </c>
      <c r="G4510" s="12" t="s">
        <v>3477</v>
      </c>
    </row>
    <row r="4511" spans="2:9" hidden="1" outlineLevel="1">
      <c r="B4511" s="76"/>
      <c r="C4511" s="9" t="str">
        <f>C4510</f>
        <v>Show</v>
      </c>
      <c r="D4511" s="23"/>
      <c r="E4511" s="13"/>
      <c r="F4511" s="70"/>
      <c r="G4511" s="78" t="s">
        <v>121</v>
      </c>
      <c r="H4511" s="75" t="s">
        <v>2893</v>
      </c>
    </row>
    <row r="4512" spans="2:9" hidden="1" outlineLevel="1">
      <c r="B4512" s="76"/>
      <c r="C4512" t="str">
        <f>$D$5984</f>
        <v>Show</v>
      </c>
      <c r="D4512" s="23"/>
      <c r="E4512" s="13"/>
      <c r="F4512" s="70" t="str">
        <f>CHAR(65+(COUNTIF(C$4510:C4511,"Show")/2))&amp;"."</f>
        <v>B.</v>
      </c>
      <c r="G4512" s="12" t="s">
        <v>3478</v>
      </c>
    </row>
    <row r="4513" spans="2:8" hidden="1" outlineLevel="1">
      <c r="B4513" s="76"/>
      <c r="C4513" s="9" t="str">
        <f>C4512</f>
        <v>Show</v>
      </c>
      <c r="D4513" s="23"/>
      <c r="E4513" s="13"/>
      <c r="F4513" s="70"/>
      <c r="G4513" s="78" t="s">
        <v>121</v>
      </c>
      <c r="H4513" s="75" t="s">
        <v>2318</v>
      </c>
    </row>
    <row r="4514" spans="2:8" hidden="1" outlineLevel="1">
      <c r="B4514" s="76"/>
      <c r="C4514" t="str">
        <f>$D$5998</f>
        <v>Show</v>
      </c>
      <c r="D4514" s="23"/>
      <c r="E4514" s="13"/>
      <c r="F4514" s="70" t="str">
        <f>CHAR(65+(COUNTIF(C$4510:C4513,"Show")/2))&amp;"."</f>
        <v>C.</v>
      </c>
      <c r="G4514" s="12" t="s">
        <v>3465</v>
      </c>
    </row>
    <row r="4515" spans="2:8" hidden="1" outlineLevel="1">
      <c r="B4515" s="76"/>
      <c r="C4515" s="9" t="str">
        <f>C4514</f>
        <v>Show</v>
      </c>
      <c r="D4515" s="23"/>
      <c r="E4515" s="13"/>
      <c r="F4515" s="70"/>
      <c r="G4515" s="78" t="s">
        <v>121</v>
      </c>
      <c r="H4515" s="75" t="s">
        <v>2326</v>
      </c>
    </row>
    <row r="4516" spans="2:8" hidden="1" outlineLevel="1">
      <c r="B4516" s="76"/>
      <c r="C4516" s="9" t="str">
        <f>C4505</f>
        <v>Show</v>
      </c>
      <c r="D4516" s="23" t="s">
        <v>613</v>
      </c>
      <c r="E4516" s="13"/>
      <c r="G4516" s="13"/>
    </row>
    <row r="4517" spans="2:8" hidden="1" outlineLevel="1">
      <c r="B4517" s="76"/>
      <c r="C4517" s="9" t="str">
        <f>C4505</f>
        <v>Show</v>
      </c>
      <c r="D4517" s="23"/>
      <c r="E4517" s="12" t="str">
        <f>IF(COUNTIF(C4518:C4521,"Show")&gt;0,"2.1 Product Requirements","No EGC Requirements")</f>
        <v>2.1 Product Requirements</v>
      </c>
      <c r="G4517" s="13"/>
    </row>
    <row r="4518" spans="2:8" hidden="1" outlineLevel="1">
      <c r="B4518" s="76"/>
      <c r="C4518" t="str">
        <f>$E$5982</f>
        <v>Show</v>
      </c>
      <c r="D4518" s="23"/>
      <c r="E4518" s="12"/>
      <c r="F4518" s="70" t="s">
        <v>119</v>
      </c>
      <c r="G4518" s="12" t="s">
        <v>3477</v>
      </c>
    </row>
    <row r="4519" spans="2:8" hidden="1" outlineLevel="1">
      <c r="B4519" s="76"/>
      <c r="C4519" s="9" t="str">
        <f>C4518</f>
        <v>Show</v>
      </c>
      <c r="D4519" s="23"/>
      <c r="E4519" s="12"/>
      <c r="G4519" s="30" t="s">
        <v>121</v>
      </c>
      <c r="H4519" s="75" t="s">
        <v>2894</v>
      </c>
    </row>
    <row r="4520" spans="2:8" hidden="1" outlineLevel="1">
      <c r="B4520" s="76"/>
      <c r="C4520" t="str">
        <f>$E$5984</f>
        <v>Show</v>
      </c>
      <c r="D4520" s="23"/>
      <c r="E4520" s="12"/>
      <c r="F4520" s="70" t="str">
        <f>CHAR(65+(COUNTIF(C$4518:C4519,"Show")/2))&amp;"."</f>
        <v>B.</v>
      </c>
      <c r="G4520" s="12" t="s">
        <v>3478</v>
      </c>
    </row>
    <row r="4521" spans="2:8" hidden="1" outlineLevel="1">
      <c r="B4521" s="76"/>
      <c r="C4521" s="9" t="str">
        <f>C4520</f>
        <v>Show</v>
      </c>
      <c r="D4521" s="23"/>
      <c r="E4521" s="12"/>
      <c r="G4521" s="30" t="s">
        <v>121</v>
      </c>
      <c r="H4521" s="75" t="s">
        <v>2321</v>
      </c>
    </row>
    <row r="4522" spans="2:8" hidden="1" outlineLevel="1">
      <c r="B4522" s="76"/>
      <c r="C4522" s="9" t="str">
        <f>C4505</f>
        <v>Show</v>
      </c>
      <c r="D4522" s="23" t="s">
        <v>187</v>
      </c>
      <c r="E4522" s="13"/>
      <c r="G4522" s="13"/>
    </row>
    <row r="4523" spans="2:8" hidden="1" outlineLevel="1">
      <c r="B4523" s="76"/>
      <c r="C4523" s="9" t="str">
        <f>C4505</f>
        <v>Show</v>
      </c>
      <c r="D4523" s="23"/>
      <c r="E4523" s="12" t="str">
        <f>IF(COUNTIF(C4524:C4527,"Show")&gt;0,"3.1 Execution Requirements","No EGC Requirements")</f>
        <v>3.1 Execution Requirements</v>
      </c>
      <c r="G4523" s="13"/>
    </row>
    <row r="4524" spans="2:8" hidden="1" outlineLevel="1">
      <c r="B4524" s="76"/>
      <c r="C4524" t="str">
        <f>$F$5982</f>
        <v>Show</v>
      </c>
      <c r="D4524" s="23"/>
      <c r="E4524" s="13"/>
      <c r="F4524" s="70" t="s">
        <v>119</v>
      </c>
      <c r="G4524" s="12" t="s">
        <v>3477</v>
      </c>
    </row>
    <row r="4525" spans="2:8" hidden="1" outlineLevel="1">
      <c r="B4525" s="76"/>
      <c r="C4525" s="9" t="str">
        <f>C4524</f>
        <v>Show</v>
      </c>
      <c r="D4525" s="23"/>
      <c r="E4525" s="13"/>
      <c r="G4525" s="78" t="s">
        <v>121</v>
      </c>
      <c r="H4525" s="75" t="s">
        <v>2895</v>
      </c>
    </row>
    <row r="4526" spans="2:8" hidden="1" outlineLevel="1">
      <c r="B4526" s="76"/>
      <c r="C4526" t="str">
        <f>$F$5984</f>
        <v>Show</v>
      </c>
      <c r="D4526" s="23"/>
      <c r="E4526" s="13"/>
      <c r="F4526" s="70" t="str">
        <f>CHAR(65+(COUNTIF(C$4524:C4525,"Show")/2))&amp;"."</f>
        <v>B.</v>
      </c>
      <c r="G4526" s="12" t="s">
        <v>3478</v>
      </c>
    </row>
    <row r="4527" spans="2:8" hidden="1" outlineLevel="1">
      <c r="B4527" s="76"/>
      <c r="C4527" s="9" t="str">
        <f>C4526</f>
        <v>Show</v>
      </c>
      <c r="D4527" s="23"/>
      <c r="E4527" s="13"/>
      <c r="G4527" s="78" t="s">
        <v>121</v>
      </c>
      <c r="H4527" s="75" t="s">
        <v>2319</v>
      </c>
    </row>
    <row r="4528" spans="2:8" hidden="1" outlineLevel="1">
      <c r="B4528" s="76"/>
      <c r="C4528" s="9" t="str">
        <f>C4505</f>
        <v>Show</v>
      </c>
    </row>
    <row r="4529" spans="2:9" collapsed="1">
      <c r="B4529" s="23"/>
      <c r="C4529" s="2" t="str">
        <f>C4530</f>
        <v>Show</v>
      </c>
      <c r="D4529" s="55" t="s">
        <v>313</v>
      </c>
      <c r="E4529" s="55"/>
      <c r="F4529" s="57" t="s">
        <v>1708</v>
      </c>
      <c r="G4529" s="53"/>
      <c r="H4529" s="54"/>
      <c r="I4529" s="75"/>
    </row>
    <row r="4530" spans="2:9" hidden="1" outlineLevel="1">
      <c r="B4530" s="76"/>
      <c r="C4530" s="2" t="str">
        <f>IF((COUNTIF(C4534:C4538,"Show")+COUNTIF(C4541:C4544,"Show")+COUNTIF(C4547:C4550,"Show"))&gt;0,"Show","Hide")</f>
        <v>Show</v>
      </c>
      <c r="D4530" s="23" t="s">
        <v>117</v>
      </c>
      <c r="E4530" s="13"/>
      <c r="G4530" s="13"/>
    </row>
    <row r="4531" spans="2:9" hidden="1" outlineLevel="1">
      <c r="B4531" s="76"/>
      <c r="C4531" s="9" t="str">
        <f>C4530</f>
        <v>Show</v>
      </c>
      <c r="D4531" s="23"/>
      <c r="E4531" s="13">
        <v>1.1000000000000001</v>
      </c>
      <c r="F4531" s="11" t="s">
        <v>118</v>
      </c>
      <c r="G4531" s="13"/>
    </row>
    <row r="4532" spans="2:9" hidden="1" outlineLevel="1">
      <c r="B4532" s="76"/>
      <c r="C4532" s="9" t="str">
        <f>C4531</f>
        <v>Show</v>
      </c>
      <c r="D4532" s="23"/>
      <c r="E4532" s="13"/>
      <c r="F4532" s="70" t="s">
        <v>119</v>
      </c>
      <c r="G4532" s="18" t="s">
        <v>677</v>
      </c>
    </row>
    <row r="4533" spans="2:9" hidden="1" outlineLevel="1">
      <c r="B4533" s="76"/>
      <c r="C4533" s="9" t="str">
        <f>C4532</f>
        <v>Show</v>
      </c>
      <c r="D4533" s="23"/>
      <c r="E4533" s="13"/>
      <c r="F4533" s="70"/>
      <c r="G4533" s="78" t="s">
        <v>121</v>
      </c>
      <c r="H4533" s="79" t="s">
        <v>2301</v>
      </c>
    </row>
    <row r="4534" spans="2:9" hidden="1" outlineLevel="1">
      <c r="B4534" s="76"/>
      <c r="C4534" s="9" t="str">
        <f>IF(COUNTIF(C4535:C4538,"Show")&gt;0,"Show","Hide")</f>
        <v>Show</v>
      </c>
      <c r="D4534" s="23"/>
      <c r="E4534" s="13">
        <v>1.2</v>
      </c>
      <c r="F4534" s="71" t="s">
        <v>131</v>
      </c>
      <c r="G4534" s="78"/>
    </row>
    <row r="4535" spans="2:9" hidden="1" outlineLevel="1">
      <c r="B4535" s="76"/>
      <c r="C4535" t="str">
        <f>$D$5982</f>
        <v>Show</v>
      </c>
      <c r="D4535" s="23"/>
      <c r="E4535" s="13"/>
      <c r="F4535" s="70" t="s">
        <v>119</v>
      </c>
      <c r="G4535" s="12" t="s">
        <v>3477</v>
      </c>
    </row>
    <row r="4536" spans="2:9" hidden="1" outlineLevel="1">
      <c r="B4536" s="76"/>
      <c r="C4536" s="9" t="str">
        <f>C4535</f>
        <v>Show</v>
      </c>
      <c r="D4536" s="23"/>
      <c r="E4536" s="13"/>
      <c r="F4536" s="70"/>
      <c r="G4536" s="78" t="s">
        <v>121</v>
      </c>
      <c r="H4536" s="75" t="s">
        <v>2893</v>
      </c>
    </row>
    <row r="4537" spans="2:9" hidden="1" outlineLevel="1">
      <c r="B4537" s="76"/>
      <c r="C4537" t="str">
        <f>$D$5984</f>
        <v>Show</v>
      </c>
      <c r="D4537" s="23"/>
      <c r="E4537" s="13"/>
      <c r="F4537" s="70" t="str">
        <f>CHAR(65+(COUNTIF(C$4535:C4536,"Show")/2))&amp;"."</f>
        <v>B.</v>
      </c>
      <c r="G4537" s="12" t="s">
        <v>3478</v>
      </c>
    </row>
    <row r="4538" spans="2:9" hidden="1" outlineLevel="1">
      <c r="B4538" s="76"/>
      <c r="C4538" s="9" t="str">
        <f>C4537</f>
        <v>Show</v>
      </c>
      <c r="D4538" s="23"/>
      <c r="E4538" s="13"/>
      <c r="F4538" s="70"/>
      <c r="G4538" s="78" t="s">
        <v>121</v>
      </c>
      <c r="H4538" s="75" t="s">
        <v>2318</v>
      </c>
    </row>
    <row r="4539" spans="2:9" hidden="1" outlineLevel="1">
      <c r="B4539" s="76"/>
      <c r="C4539" s="9" t="str">
        <f>C4530</f>
        <v>Show</v>
      </c>
      <c r="D4539" s="23" t="s">
        <v>613</v>
      </c>
      <c r="E4539" s="13"/>
      <c r="G4539" s="13"/>
    </row>
    <row r="4540" spans="2:9" hidden="1" outlineLevel="1">
      <c r="B4540" s="76"/>
      <c r="C4540" s="9" t="str">
        <f>C4530</f>
        <v>Show</v>
      </c>
      <c r="D4540" s="23"/>
      <c r="E4540" s="12" t="str">
        <f>IF(COUNTIF(C4541:C4544,"Show")&gt;0,"2.1 Product Requirements","No EGC Requirements")</f>
        <v>2.1 Product Requirements</v>
      </c>
      <c r="G4540" s="13"/>
    </row>
    <row r="4541" spans="2:9" hidden="1" outlineLevel="1">
      <c r="B4541" s="76"/>
      <c r="C4541" t="str">
        <f>$E$5982</f>
        <v>Show</v>
      </c>
      <c r="D4541" s="23"/>
      <c r="E4541" s="12"/>
      <c r="F4541" s="70" t="s">
        <v>119</v>
      </c>
      <c r="G4541" s="12" t="s">
        <v>3477</v>
      </c>
    </row>
    <row r="4542" spans="2:9" hidden="1" outlineLevel="1">
      <c r="B4542" s="76"/>
      <c r="C4542" s="9" t="str">
        <f>C4541</f>
        <v>Show</v>
      </c>
      <c r="D4542" s="23"/>
      <c r="E4542" s="12"/>
      <c r="G4542" s="30" t="s">
        <v>121</v>
      </c>
      <c r="H4542" s="75" t="s">
        <v>2894</v>
      </c>
    </row>
    <row r="4543" spans="2:9" hidden="1" outlineLevel="1">
      <c r="B4543" s="76"/>
      <c r="C4543" t="str">
        <f>$E$5984</f>
        <v>Show</v>
      </c>
      <c r="D4543" s="23"/>
      <c r="E4543" s="12"/>
      <c r="F4543" s="70" t="str">
        <f>CHAR(65+(COUNTIF(C$4541:C4542,"Show")/2))&amp;"."</f>
        <v>B.</v>
      </c>
      <c r="G4543" s="12" t="s">
        <v>3478</v>
      </c>
    </row>
    <row r="4544" spans="2:9" hidden="1" outlineLevel="1">
      <c r="B4544" s="76"/>
      <c r="C4544" s="9" t="str">
        <f>C4543</f>
        <v>Show</v>
      </c>
      <c r="D4544" s="23"/>
      <c r="E4544" s="12"/>
      <c r="G4544" s="30" t="s">
        <v>121</v>
      </c>
      <c r="H4544" s="75" t="s">
        <v>2321</v>
      </c>
    </row>
    <row r="4545" spans="2:8" hidden="1" outlineLevel="1">
      <c r="B4545" s="76"/>
      <c r="C4545" s="9" t="str">
        <f>C4530</f>
        <v>Show</v>
      </c>
      <c r="D4545" s="23" t="s">
        <v>187</v>
      </c>
      <c r="E4545" s="13"/>
      <c r="G4545" s="13"/>
    </row>
    <row r="4546" spans="2:8" hidden="1" outlineLevel="1">
      <c r="B4546" s="76"/>
      <c r="C4546" s="9" t="str">
        <f>C4530</f>
        <v>Show</v>
      </c>
      <c r="D4546" s="23"/>
      <c r="E4546" s="12" t="str">
        <f>IF(COUNTIF(C4547:C4550,"Show")&gt;0,"3.1 Execution Requirements","No EGC Requirements")</f>
        <v>3.1 Execution Requirements</v>
      </c>
      <c r="G4546" s="13"/>
    </row>
    <row r="4547" spans="2:8" hidden="1" outlineLevel="1">
      <c r="B4547" s="76"/>
      <c r="C4547" t="str">
        <f>$F$5982</f>
        <v>Show</v>
      </c>
      <c r="D4547" s="23"/>
      <c r="E4547" s="13"/>
      <c r="F4547" s="70" t="s">
        <v>119</v>
      </c>
      <c r="G4547" s="12" t="s">
        <v>3477</v>
      </c>
    </row>
    <row r="4548" spans="2:8" hidden="1" outlineLevel="1">
      <c r="B4548" s="76"/>
      <c r="C4548" s="9" t="str">
        <f>C4547</f>
        <v>Show</v>
      </c>
      <c r="D4548" s="23"/>
      <c r="E4548" s="13"/>
      <c r="G4548" s="78" t="s">
        <v>121</v>
      </c>
      <c r="H4548" s="75" t="s">
        <v>2895</v>
      </c>
    </row>
    <row r="4549" spans="2:8" hidden="1" outlineLevel="1">
      <c r="B4549" s="76"/>
      <c r="C4549" t="str">
        <f>$F$5984</f>
        <v>Show</v>
      </c>
      <c r="D4549" s="23"/>
      <c r="E4549" s="13"/>
      <c r="F4549" s="70" t="str">
        <f>CHAR(65+(COUNTIF(C$4547:C4548,"Show")/2))&amp;"."</f>
        <v>B.</v>
      </c>
      <c r="G4549" s="12" t="s">
        <v>3478</v>
      </c>
    </row>
    <row r="4550" spans="2:8" hidden="1" outlineLevel="1">
      <c r="B4550" s="76"/>
      <c r="C4550" s="9" t="str">
        <f>C4549</f>
        <v>Show</v>
      </c>
      <c r="D4550" s="23"/>
      <c r="E4550" s="13"/>
      <c r="G4550" s="78" t="s">
        <v>121</v>
      </c>
      <c r="H4550" s="75" t="s">
        <v>2319</v>
      </c>
    </row>
    <row r="4551" spans="2:8" hidden="1" outlineLevel="1">
      <c r="B4551" s="76"/>
      <c r="C4551" s="9" t="str">
        <f>C4530</f>
        <v>Show</v>
      </c>
    </row>
    <row r="4552" spans="2:8" collapsed="1">
      <c r="B4552" s="23"/>
      <c r="C4552" s="2" t="str">
        <f>C4553</f>
        <v>Show</v>
      </c>
      <c r="D4552" s="55" t="s">
        <v>314</v>
      </c>
      <c r="E4552" s="55"/>
      <c r="F4552" s="57" t="s">
        <v>315</v>
      </c>
      <c r="G4552" s="53"/>
      <c r="H4552" s="54"/>
    </row>
    <row r="4553" spans="2:8" hidden="1" outlineLevel="1">
      <c r="B4553" s="76"/>
      <c r="C4553" s="2" t="str">
        <f>IF((COUNTIF(C4557:C4561,"Show")+COUNTIF(C4564:C4567,"Show")+COUNTIF(C4570:C4573,"Show"))&gt;0,"Show","Hide")</f>
        <v>Show</v>
      </c>
      <c r="D4553" s="23" t="s">
        <v>117</v>
      </c>
      <c r="E4553" s="13"/>
      <c r="G4553" s="13"/>
    </row>
    <row r="4554" spans="2:8" hidden="1" outlineLevel="1">
      <c r="B4554" s="76"/>
      <c r="C4554" s="9" t="str">
        <f>C4553</f>
        <v>Show</v>
      </c>
      <c r="D4554" s="23"/>
      <c r="E4554" s="13">
        <v>1.1000000000000001</v>
      </c>
      <c r="F4554" s="11" t="s">
        <v>118</v>
      </c>
      <c r="G4554" s="13"/>
    </row>
    <row r="4555" spans="2:8" hidden="1" outlineLevel="1">
      <c r="B4555" s="76"/>
      <c r="C4555" s="9" t="str">
        <f>C4554</f>
        <v>Show</v>
      </c>
      <c r="D4555" s="23"/>
      <c r="E4555" s="13"/>
      <c r="F4555" s="70" t="s">
        <v>119</v>
      </c>
      <c r="G4555" s="18" t="s">
        <v>677</v>
      </c>
    </row>
    <row r="4556" spans="2:8" hidden="1" outlineLevel="1">
      <c r="B4556" s="76"/>
      <c r="C4556" s="9" t="str">
        <f>C4555</f>
        <v>Show</v>
      </c>
      <c r="D4556" s="23"/>
      <c r="E4556" s="13"/>
      <c r="F4556" s="70"/>
      <c r="G4556" s="78" t="s">
        <v>121</v>
      </c>
      <c r="H4556" s="79" t="s">
        <v>2301</v>
      </c>
    </row>
    <row r="4557" spans="2:8" hidden="1" outlineLevel="1">
      <c r="B4557" s="76"/>
      <c r="C4557" s="9" t="str">
        <f>IF(COUNTIF(C4558:C4561,"Show")&gt;0,"Show","Hide")</f>
        <v>Show</v>
      </c>
      <c r="D4557" s="23"/>
      <c r="E4557" s="13">
        <v>1.2</v>
      </c>
      <c r="F4557" s="71" t="s">
        <v>131</v>
      </c>
      <c r="G4557" s="78"/>
    </row>
    <row r="4558" spans="2:8" hidden="1" outlineLevel="1">
      <c r="B4558" s="76"/>
      <c r="C4558" t="str">
        <f>$D$5964</f>
        <v>Show</v>
      </c>
      <c r="D4558" s="23"/>
      <c r="E4558" s="13"/>
      <c r="F4558" s="70" t="s">
        <v>119</v>
      </c>
      <c r="G4558" s="12" t="s">
        <v>3410</v>
      </c>
    </row>
    <row r="4559" spans="2:8" hidden="1" outlineLevel="1">
      <c r="B4559" s="76"/>
      <c r="C4559" s="9" t="str">
        <f>C4558</f>
        <v>Show</v>
      </c>
      <c r="D4559" s="23"/>
      <c r="E4559" s="13"/>
      <c r="F4559" s="70"/>
      <c r="G4559" s="78" t="s">
        <v>121</v>
      </c>
      <c r="H4559" s="75" t="s">
        <v>2335</v>
      </c>
    </row>
    <row r="4560" spans="2:8" hidden="1" outlineLevel="1">
      <c r="B4560" s="76"/>
      <c r="C4560" t="str">
        <f>$D$5966</f>
        <v>Show</v>
      </c>
      <c r="D4560" s="23"/>
      <c r="E4560" s="13"/>
      <c r="F4560" s="70" t="str">
        <f>CHAR(65+(COUNTIF(C$4558:C4559,"Show")/2))&amp;"."</f>
        <v>B.</v>
      </c>
      <c r="G4560" s="12" t="s">
        <v>3449</v>
      </c>
    </row>
    <row r="4561" spans="2:8" hidden="1" outlineLevel="1">
      <c r="B4561" s="76"/>
      <c r="C4561" s="9" t="str">
        <f>C4560</f>
        <v>Show</v>
      </c>
      <c r="D4561" s="23"/>
      <c r="E4561" s="13"/>
      <c r="F4561" s="70"/>
      <c r="G4561" s="78" t="s">
        <v>121</v>
      </c>
      <c r="H4561" s="75" t="s">
        <v>2336</v>
      </c>
    </row>
    <row r="4562" spans="2:8" hidden="1" outlineLevel="1">
      <c r="B4562" s="76"/>
      <c r="C4562" s="9" t="str">
        <f>C4553</f>
        <v>Show</v>
      </c>
      <c r="D4562" s="23" t="s">
        <v>613</v>
      </c>
      <c r="E4562" s="13"/>
      <c r="G4562" s="13"/>
    </row>
    <row r="4563" spans="2:8" hidden="1" outlineLevel="1">
      <c r="B4563" s="76"/>
      <c r="C4563" s="9" t="str">
        <f>C4553</f>
        <v>Show</v>
      </c>
      <c r="D4563" s="23"/>
      <c r="E4563" s="12" t="str">
        <f>IF(COUNTIF(C4564:C4567,"Show")&gt;0,"2.1 Product Requirements","No EGC Requirements")</f>
        <v>2.1 Product Requirements</v>
      </c>
      <c r="G4563" s="13"/>
    </row>
    <row r="4564" spans="2:8" hidden="1" outlineLevel="1">
      <c r="B4564" s="76"/>
      <c r="C4564" t="str">
        <f>$E$5964</f>
        <v>Show</v>
      </c>
      <c r="D4564" s="23"/>
      <c r="E4564" s="12"/>
      <c r="F4564" s="70" t="s">
        <v>119</v>
      </c>
      <c r="G4564" s="12" t="s">
        <v>3410</v>
      </c>
    </row>
    <row r="4565" spans="2:8" hidden="1" outlineLevel="1">
      <c r="B4565" s="76"/>
      <c r="C4565" s="9" t="str">
        <f>C4564</f>
        <v>Show</v>
      </c>
      <c r="D4565" s="23"/>
      <c r="E4565" s="12"/>
      <c r="G4565" s="30" t="s">
        <v>121</v>
      </c>
      <c r="H4565" s="75" t="s">
        <v>2337</v>
      </c>
    </row>
    <row r="4566" spans="2:8" hidden="1" outlineLevel="1">
      <c r="B4566" s="76"/>
      <c r="C4566" t="str">
        <f>$E$5966</f>
        <v>Show</v>
      </c>
      <c r="D4566" s="23"/>
      <c r="E4566" s="12"/>
      <c r="F4566" s="70" t="str">
        <f>CHAR(65+(COUNTIF(C$4564:C4565,"Show")/2))&amp;"."</f>
        <v>B.</v>
      </c>
      <c r="G4566" s="12" t="s">
        <v>3449</v>
      </c>
    </row>
    <row r="4567" spans="2:8" hidden="1" outlineLevel="1">
      <c r="B4567" s="76"/>
      <c r="C4567" s="9" t="str">
        <f>C4566</f>
        <v>Show</v>
      </c>
      <c r="D4567" s="23"/>
      <c r="E4567" s="12"/>
      <c r="G4567" s="30" t="s">
        <v>121</v>
      </c>
      <c r="H4567" s="75" t="s">
        <v>2338</v>
      </c>
    </row>
    <row r="4568" spans="2:8" hidden="1" outlineLevel="1">
      <c r="B4568" s="76"/>
      <c r="C4568" s="9" t="str">
        <f>C4553</f>
        <v>Show</v>
      </c>
      <c r="D4568" s="23" t="s">
        <v>187</v>
      </c>
      <c r="E4568" s="13"/>
      <c r="G4568" s="13"/>
    </row>
    <row r="4569" spans="2:8" hidden="1" outlineLevel="1">
      <c r="B4569" s="76"/>
      <c r="C4569" s="9" t="str">
        <f>C4553</f>
        <v>Show</v>
      </c>
      <c r="D4569" s="23"/>
      <c r="E4569" s="12" t="str">
        <f>IF(COUNTIF(C4570:C4573,"Show")&gt;0,"3.1 Execution Requirements","No EGC Requirements")</f>
        <v>3.1 Execution Requirements</v>
      </c>
      <c r="G4569" s="13"/>
    </row>
    <row r="4570" spans="2:8" hidden="1" outlineLevel="1">
      <c r="B4570" s="76"/>
      <c r="C4570" t="str">
        <f>$F$5964</f>
        <v>Show</v>
      </c>
      <c r="D4570" s="23"/>
      <c r="E4570" s="13"/>
      <c r="F4570" s="70" t="s">
        <v>119</v>
      </c>
      <c r="G4570" s="12" t="s">
        <v>3410</v>
      </c>
    </row>
    <row r="4571" spans="2:8" ht="30" hidden="1" outlineLevel="1">
      <c r="B4571" s="76"/>
      <c r="C4571" s="9" t="str">
        <f>C4570</f>
        <v>Show</v>
      </c>
      <c r="D4571" s="23"/>
      <c r="E4571" s="13"/>
      <c r="G4571" s="78" t="s">
        <v>121</v>
      </c>
      <c r="H4571" s="75" t="s">
        <v>2339</v>
      </c>
    </row>
    <row r="4572" spans="2:8" hidden="1" outlineLevel="1">
      <c r="B4572" s="76"/>
      <c r="C4572" t="str">
        <f>$F$5966</f>
        <v>Show</v>
      </c>
      <c r="D4572" s="23"/>
      <c r="E4572" s="13"/>
      <c r="F4572" s="70" t="str">
        <f>CHAR(65+(COUNTIF(C$4570:C4571,"Show")/2))&amp;"."</f>
        <v>B.</v>
      </c>
      <c r="G4572" s="12" t="s">
        <v>3449</v>
      </c>
    </row>
    <row r="4573" spans="2:8" hidden="1" outlineLevel="1">
      <c r="B4573" s="76"/>
      <c r="C4573" s="9" t="str">
        <f>C4572</f>
        <v>Show</v>
      </c>
      <c r="D4573" s="23"/>
      <c r="E4573" s="13"/>
      <c r="G4573" s="78" t="s">
        <v>121</v>
      </c>
      <c r="H4573" s="75" t="s">
        <v>2841</v>
      </c>
    </row>
    <row r="4574" spans="2:8" hidden="1" outlineLevel="1">
      <c r="B4574" s="76"/>
      <c r="C4574" s="9" t="str">
        <f>C4553</f>
        <v>Show</v>
      </c>
    </row>
    <row r="4575" spans="2:8" collapsed="1">
      <c r="B4575" s="23"/>
      <c r="C4575" s="2" t="str">
        <f>C4576</f>
        <v>Show</v>
      </c>
      <c r="D4575" s="55" t="s">
        <v>316</v>
      </c>
      <c r="E4575" s="55"/>
      <c r="F4575" s="57" t="s">
        <v>317</v>
      </c>
      <c r="G4575" s="53"/>
      <c r="H4575" s="54"/>
    </row>
    <row r="4576" spans="2:8" hidden="1" outlineLevel="1">
      <c r="B4576" s="76"/>
      <c r="C4576" s="2" t="str">
        <f>IF((COUNTIF(C4580:C4584,"Show")+COUNTIF(C4587:C4590,"Show")+COUNTIF(C4593:C4596,"Show"))&gt;0,"Show","Hide")</f>
        <v>Show</v>
      </c>
      <c r="D4576" s="23" t="s">
        <v>117</v>
      </c>
      <c r="E4576" s="13"/>
      <c r="G4576" s="13"/>
    </row>
    <row r="4577" spans="2:8" hidden="1" outlineLevel="1">
      <c r="B4577" s="76"/>
      <c r="C4577" s="9" t="str">
        <f>C4576</f>
        <v>Show</v>
      </c>
      <c r="D4577" s="23"/>
      <c r="E4577" s="13">
        <v>1.1000000000000001</v>
      </c>
      <c r="F4577" s="11" t="s">
        <v>118</v>
      </c>
      <c r="G4577" s="13"/>
    </row>
    <row r="4578" spans="2:8" hidden="1" outlineLevel="1">
      <c r="B4578" s="76"/>
      <c r="C4578" s="9" t="str">
        <f>C4577</f>
        <v>Show</v>
      </c>
      <c r="D4578" s="23"/>
      <c r="E4578" s="13"/>
      <c r="F4578" s="70" t="s">
        <v>119</v>
      </c>
      <c r="G4578" s="18" t="s">
        <v>677</v>
      </c>
    </row>
    <row r="4579" spans="2:8" hidden="1" outlineLevel="1">
      <c r="B4579" s="76"/>
      <c r="C4579" s="9" t="str">
        <f>C4578</f>
        <v>Show</v>
      </c>
      <c r="D4579" s="23"/>
      <c r="E4579" s="13"/>
      <c r="F4579" s="70"/>
      <c r="G4579" s="78" t="s">
        <v>121</v>
      </c>
      <c r="H4579" s="79" t="s">
        <v>2301</v>
      </c>
    </row>
    <row r="4580" spans="2:8" hidden="1" outlineLevel="1">
      <c r="B4580" s="76"/>
      <c r="C4580" s="9" t="str">
        <f>IF(COUNTIF(C4581:C4584,"Show")&gt;0,"Show","Hide")</f>
        <v>Show</v>
      </c>
      <c r="D4580" s="23"/>
      <c r="E4580" s="13">
        <v>1.2</v>
      </c>
      <c r="F4580" s="71" t="s">
        <v>131</v>
      </c>
      <c r="G4580" s="78"/>
    </row>
    <row r="4581" spans="2:8" hidden="1" outlineLevel="1">
      <c r="B4581" s="76"/>
      <c r="C4581" t="str">
        <f>$D$5982</f>
        <v>Show</v>
      </c>
      <c r="D4581" s="23"/>
      <c r="E4581" s="13"/>
      <c r="F4581" s="70" t="s">
        <v>119</v>
      </c>
      <c r="G4581" s="12" t="s">
        <v>3477</v>
      </c>
    </row>
    <row r="4582" spans="2:8" hidden="1" outlineLevel="1">
      <c r="B4582" s="76"/>
      <c r="C4582" s="9" t="str">
        <f>C4581</f>
        <v>Show</v>
      </c>
      <c r="D4582" s="23"/>
      <c r="E4582" s="13"/>
      <c r="F4582" s="70"/>
      <c r="G4582" s="78" t="s">
        <v>121</v>
      </c>
      <c r="H4582" s="75" t="s">
        <v>2893</v>
      </c>
    </row>
    <row r="4583" spans="2:8" hidden="1" outlineLevel="1">
      <c r="B4583" s="76"/>
      <c r="C4583" t="str">
        <f>$D$5984</f>
        <v>Show</v>
      </c>
      <c r="D4583" s="23"/>
      <c r="E4583" s="13"/>
      <c r="F4583" s="70" t="str">
        <f>CHAR(65+(COUNTIF(C$4581:C4582,"Show")/2))&amp;"."</f>
        <v>B.</v>
      </c>
      <c r="G4583" s="12" t="s">
        <v>3478</v>
      </c>
    </row>
    <row r="4584" spans="2:8" hidden="1" outlineLevel="1">
      <c r="B4584" s="76"/>
      <c r="C4584" s="9" t="str">
        <f>C4583</f>
        <v>Show</v>
      </c>
      <c r="D4584" s="23"/>
      <c r="E4584" s="13"/>
      <c r="F4584" s="70"/>
      <c r="G4584" s="78" t="s">
        <v>121</v>
      </c>
      <c r="H4584" s="75" t="s">
        <v>2318</v>
      </c>
    </row>
    <row r="4585" spans="2:8" hidden="1" outlineLevel="1">
      <c r="B4585" s="76"/>
      <c r="C4585" s="9" t="str">
        <f>C4576</f>
        <v>Show</v>
      </c>
      <c r="D4585" s="23" t="s">
        <v>613</v>
      </c>
      <c r="E4585" s="13"/>
      <c r="G4585" s="13"/>
    </row>
    <row r="4586" spans="2:8" hidden="1" outlineLevel="1">
      <c r="B4586" s="76"/>
      <c r="C4586" s="9" t="str">
        <f>C4576</f>
        <v>Show</v>
      </c>
      <c r="D4586" s="23"/>
      <c r="E4586" s="12" t="str">
        <f>IF(COUNTIF(C4587:C4590,"Show")&gt;0,"2.1 Product Requirements","No EGC Requirements")</f>
        <v>2.1 Product Requirements</v>
      </c>
      <c r="G4586" s="13"/>
    </row>
    <row r="4587" spans="2:8" hidden="1" outlineLevel="1">
      <c r="B4587" s="76"/>
      <c r="C4587" t="str">
        <f>$E$5982</f>
        <v>Show</v>
      </c>
      <c r="D4587" s="23"/>
      <c r="E4587" s="12"/>
      <c r="F4587" s="70" t="s">
        <v>119</v>
      </c>
      <c r="G4587" s="12" t="s">
        <v>3477</v>
      </c>
    </row>
    <row r="4588" spans="2:8" hidden="1" outlineLevel="1">
      <c r="B4588" s="76"/>
      <c r="C4588" s="9" t="str">
        <f>C4587</f>
        <v>Show</v>
      </c>
      <c r="D4588" s="23"/>
      <c r="E4588" s="12"/>
      <c r="G4588" s="30" t="s">
        <v>121</v>
      </c>
      <c r="H4588" s="75" t="s">
        <v>2894</v>
      </c>
    </row>
    <row r="4589" spans="2:8" hidden="1" outlineLevel="1">
      <c r="B4589" s="76"/>
      <c r="C4589" t="str">
        <f>$E$5984</f>
        <v>Show</v>
      </c>
      <c r="D4589" s="23"/>
      <c r="E4589" s="12"/>
      <c r="F4589" s="70" t="str">
        <f>CHAR(65+(COUNTIF(C$4587:C4588,"Show")/2))&amp;"."</f>
        <v>B.</v>
      </c>
      <c r="G4589" s="12" t="s">
        <v>3478</v>
      </c>
    </row>
    <row r="4590" spans="2:8" hidden="1" outlineLevel="1">
      <c r="B4590" s="76"/>
      <c r="C4590" s="9" t="str">
        <f>C4589</f>
        <v>Show</v>
      </c>
      <c r="D4590" s="23"/>
      <c r="E4590" s="12"/>
      <c r="G4590" s="30" t="s">
        <v>121</v>
      </c>
      <c r="H4590" s="75" t="s">
        <v>2321</v>
      </c>
    </row>
    <row r="4591" spans="2:8" hidden="1" outlineLevel="1">
      <c r="B4591" s="76"/>
      <c r="C4591" s="9" t="str">
        <f>C4576</f>
        <v>Show</v>
      </c>
      <c r="D4591" s="23" t="s">
        <v>187</v>
      </c>
      <c r="E4591" s="13"/>
      <c r="G4591" s="13"/>
    </row>
    <row r="4592" spans="2:8" hidden="1" outlineLevel="1">
      <c r="B4592" s="76"/>
      <c r="C4592" s="9" t="str">
        <f>C4576</f>
        <v>Show</v>
      </c>
      <c r="D4592" s="23"/>
      <c r="E4592" s="12" t="str">
        <f>IF(COUNTIF(C4593:C4596,"Show")&gt;0,"3.1 Execution Requirements","No EGC Requirements")</f>
        <v>3.1 Execution Requirements</v>
      </c>
      <c r="G4592" s="13"/>
    </row>
    <row r="4593" spans="2:8" hidden="1" outlineLevel="1">
      <c r="B4593" s="76"/>
      <c r="C4593" t="str">
        <f>$F$5982</f>
        <v>Show</v>
      </c>
      <c r="D4593" s="23"/>
      <c r="E4593" s="13"/>
      <c r="F4593" s="70" t="s">
        <v>119</v>
      </c>
      <c r="G4593" s="12" t="s">
        <v>3477</v>
      </c>
    </row>
    <row r="4594" spans="2:8" hidden="1" outlineLevel="1">
      <c r="B4594" s="76"/>
      <c r="C4594" s="9" t="str">
        <f>C4593</f>
        <v>Show</v>
      </c>
      <c r="D4594" s="23"/>
      <c r="E4594" s="13"/>
      <c r="G4594" s="78" t="s">
        <v>121</v>
      </c>
      <c r="H4594" s="75" t="s">
        <v>2895</v>
      </c>
    </row>
    <row r="4595" spans="2:8" hidden="1" outlineLevel="1">
      <c r="B4595" s="76"/>
      <c r="C4595" t="str">
        <f>$F$5984</f>
        <v>Show</v>
      </c>
      <c r="D4595" s="23"/>
      <c r="E4595" s="13"/>
      <c r="F4595" s="70" t="str">
        <f>CHAR(65+(COUNTIF(C$4593:C4594,"Show")/2))&amp;"."</f>
        <v>B.</v>
      </c>
      <c r="G4595" s="12" t="s">
        <v>3478</v>
      </c>
    </row>
    <row r="4596" spans="2:8" hidden="1" outlineLevel="1">
      <c r="B4596" s="76"/>
      <c r="C4596" s="9" t="str">
        <f>C4595</f>
        <v>Show</v>
      </c>
      <c r="D4596" s="23"/>
      <c r="E4596" s="13"/>
      <c r="G4596" s="78" t="s">
        <v>121</v>
      </c>
      <c r="H4596" s="75" t="s">
        <v>2319</v>
      </c>
    </row>
    <row r="4597" spans="2:8" hidden="1" outlineLevel="1">
      <c r="B4597" s="76"/>
      <c r="C4597" s="9" t="str">
        <f>C4576</f>
        <v>Show</v>
      </c>
    </row>
    <row r="4598" spans="2:8" collapsed="1">
      <c r="B4598" s="23"/>
      <c r="C4598" s="2" t="str">
        <f>C4599</f>
        <v>Show</v>
      </c>
      <c r="D4598" s="55" t="s">
        <v>318</v>
      </c>
      <c r="E4598" s="55"/>
      <c r="F4598" s="57" t="s">
        <v>1709</v>
      </c>
      <c r="G4598" s="53"/>
      <c r="H4598" s="54"/>
    </row>
    <row r="4599" spans="2:8" hidden="1" outlineLevel="1">
      <c r="B4599" s="76"/>
      <c r="C4599" s="2" t="str">
        <f>IF((COUNTIF(C4603:C4605,"Show")+COUNTIF(C4610:C4611,"Show"))&gt;0,"Show","Hide")</f>
        <v>Show</v>
      </c>
      <c r="D4599" s="23" t="s">
        <v>117</v>
      </c>
      <c r="E4599" s="13"/>
      <c r="G4599" s="13"/>
    </row>
    <row r="4600" spans="2:8" hidden="1" outlineLevel="1">
      <c r="B4600" s="76"/>
      <c r="C4600" s="9" t="str">
        <f>C4599</f>
        <v>Show</v>
      </c>
      <c r="D4600" s="23"/>
      <c r="E4600" s="13">
        <v>1.1000000000000001</v>
      </c>
      <c r="F4600" s="11" t="s">
        <v>118</v>
      </c>
      <c r="G4600" s="13"/>
    </row>
    <row r="4601" spans="2:8" hidden="1" outlineLevel="1">
      <c r="B4601" s="76"/>
      <c r="C4601" s="9" t="str">
        <f>C4600</f>
        <v>Show</v>
      </c>
      <c r="D4601" s="23"/>
      <c r="E4601" s="13"/>
      <c r="F4601" s="70" t="s">
        <v>119</v>
      </c>
      <c r="G4601" s="18" t="s">
        <v>677</v>
      </c>
    </row>
    <row r="4602" spans="2:8" hidden="1" outlineLevel="1">
      <c r="B4602" s="76"/>
      <c r="C4602" s="9" t="str">
        <f>C4601</f>
        <v>Show</v>
      </c>
      <c r="D4602" s="23"/>
      <c r="E4602" s="13"/>
      <c r="F4602" s="70"/>
      <c r="G4602" s="78" t="s">
        <v>121</v>
      </c>
      <c r="H4602" s="79" t="s">
        <v>2301</v>
      </c>
    </row>
    <row r="4603" spans="2:8" hidden="1" outlineLevel="1">
      <c r="B4603" s="76"/>
      <c r="C4603" s="9" t="str">
        <f>IF(COUNTIF(C4604:C4605,"Show")&gt;0,"Show","Hide")</f>
        <v>Show</v>
      </c>
      <c r="D4603" s="23"/>
      <c r="E4603" s="13">
        <v>1.2</v>
      </c>
      <c r="F4603" s="71" t="s">
        <v>131</v>
      </c>
      <c r="G4603" s="78"/>
    </row>
    <row r="4604" spans="2:8" hidden="1" outlineLevel="1">
      <c r="B4604" s="76"/>
      <c r="C4604" t="str">
        <f>$D$5992</f>
        <v>Show</v>
      </c>
      <c r="D4604" s="23"/>
      <c r="E4604" s="13"/>
      <c r="F4604" s="70" t="s">
        <v>119</v>
      </c>
      <c r="G4604" s="12" t="s">
        <v>3447</v>
      </c>
    </row>
    <row r="4605" spans="2:8" ht="30" hidden="1" outlineLevel="1">
      <c r="B4605" s="76"/>
      <c r="C4605" s="9" t="str">
        <f>C4604</f>
        <v>Show</v>
      </c>
      <c r="D4605" s="23"/>
      <c r="E4605" s="13"/>
      <c r="F4605" s="70"/>
      <c r="G4605" s="78" t="s">
        <v>121</v>
      </c>
      <c r="H4605" s="75" t="s">
        <v>2896</v>
      </c>
    </row>
    <row r="4606" spans="2:8" hidden="1" outlineLevel="1">
      <c r="B4606" s="76"/>
      <c r="C4606" s="9" t="str">
        <f>C4599</f>
        <v>Show</v>
      </c>
      <c r="D4606" s="23" t="s">
        <v>613</v>
      </c>
      <c r="E4606" s="13"/>
      <c r="G4606" s="13"/>
    </row>
    <row r="4607" spans="2:8" hidden="1" outlineLevel="1">
      <c r="B4607" s="76"/>
      <c r="C4607" s="9" t="str">
        <f>C4599</f>
        <v>Show</v>
      </c>
      <c r="D4607" s="23"/>
      <c r="E4607" s="12" t="s">
        <v>2703</v>
      </c>
      <c r="G4607" s="13"/>
    </row>
    <row r="4608" spans="2:8" hidden="1" outlineLevel="1">
      <c r="B4608" s="76"/>
      <c r="C4608" s="9" t="str">
        <f>C4599</f>
        <v>Show</v>
      </c>
      <c r="D4608" s="23" t="s">
        <v>187</v>
      </c>
      <c r="E4608" s="13"/>
      <c r="G4608" s="13"/>
    </row>
    <row r="4609" spans="2:8" hidden="1" outlineLevel="1">
      <c r="B4609" s="76"/>
      <c r="C4609" s="9" t="str">
        <f>C4599</f>
        <v>Show</v>
      </c>
      <c r="D4609" s="23"/>
      <c r="E4609" s="12" t="str">
        <f>IF(COUNTIF(C4610:C4611,"Show")&gt;0,"3.1 Execution Requirements","No EGC Requirements")</f>
        <v>3.1 Execution Requirements</v>
      </c>
      <c r="G4609" s="13"/>
    </row>
    <row r="4610" spans="2:8" hidden="1" outlineLevel="1">
      <c r="B4610" s="76"/>
      <c r="C4610" t="str">
        <f>$F$5992</f>
        <v>Show</v>
      </c>
      <c r="D4610" s="23"/>
      <c r="E4610" s="13"/>
      <c r="F4610" s="70" t="s">
        <v>119</v>
      </c>
      <c r="G4610" s="12" t="s">
        <v>3447</v>
      </c>
    </row>
    <row r="4611" spans="2:8" ht="30" hidden="1" outlineLevel="1">
      <c r="B4611" s="76"/>
      <c r="C4611" s="9" t="str">
        <f>C4610</f>
        <v>Show</v>
      </c>
      <c r="D4611" s="23"/>
      <c r="E4611" s="13"/>
      <c r="G4611" s="78" t="s">
        <v>121</v>
      </c>
      <c r="H4611" s="75" t="s">
        <v>2897</v>
      </c>
    </row>
    <row r="4612" spans="2:8" hidden="1" outlineLevel="1">
      <c r="B4612" s="76"/>
      <c r="C4612" s="9" t="str">
        <f>C4599</f>
        <v>Show</v>
      </c>
      <c r="F4612" s="70"/>
    </row>
    <row r="4613" spans="2:8" collapsed="1">
      <c r="B4613" s="23"/>
      <c r="C4613" s="2" t="str">
        <f>C4614</f>
        <v>Show</v>
      </c>
      <c r="D4613" s="60" t="s">
        <v>319</v>
      </c>
      <c r="E4613" s="55"/>
      <c r="F4613" s="56" t="s">
        <v>574</v>
      </c>
      <c r="G4613" s="53"/>
      <c r="H4613" s="54"/>
    </row>
    <row r="4614" spans="2:8" hidden="1" outlineLevel="1">
      <c r="B4614" s="76"/>
      <c r="C4614" s="2" t="str">
        <f>IF((COUNTIF(C4618:C4628,"Show")+COUNTIF(C4631:C4640,"Show")+COUNTIF(C4643:C4652,"Show"))&gt;0,"Show","Hide")</f>
        <v>Show</v>
      </c>
      <c r="D4614" s="23" t="s">
        <v>117</v>
      </c>
      <c r="E4614" s="13"/>
      <c r="G4614" s="13"/>
    </row>
    <row r="4615" spans="2:8" hidden="1" outlineLevel="1">
      <c r="B4615" s="76"/>
      <c r="C4615" s="9" t="str">
        <f>C4614</f>
        <v>Show</v>
      </c>
      <c r="D4615" s="23"/>
      <c r="E4615" s="13">
        <v>1.1000000000000001</v>
      </c>
      <c r="F4615" s="11" t="s">
        <v>118</v>
      </c>
      <c r="G4615" s="13"/>
    </row>
    <row r="4616" spans="2:8" hidden="1" outlineLevel="1">
      <c r="B4616" s="76"/>
      <c r="C4616" s="9" t="str">
        <f>C4615</f>
        <v>Show</v>
      </c>
      <c r="D4616" s="23"/>
      <c r="E4616" s="13"/>
      <c r="F4616" s="70" t="s">
        <v>119</v>
      </c>
      <c r="G4616" s="18" t="s">
        <v>677</v>
      </c>
    </row>
    <row r="4617" spans="2:8" hidden="1" outlineLevel="1">
      <c r="B4617" s="76"/>
      <c r="C4617" s="9" t="str">
        <f>C4616</f>
        <v>Show</v>
      </c>
      <c r="D4617" s="23"/>
      <c r="E4617" s="13"/>
      <c r="F4617" s="70"/>
      <c r="G4617" s="78" t="s">
        <v>121</v>
      </c>
      <c r="H4617" s="79" t="s">
        <v>2301</v>
      </c>
    </row>
    <row r="4618" spans="2:8" hidden="1" outlineLevel="1">
      <c r="B4618" s="76"/>
      <c r="C4618" s="9" t="str">
        <f>IF(COUNTIF(C4619:C4628,"Show")&gt;0,"Show","Hide")</f>
        <v>Show</v>
      </c>
      <c r="D4618" s="23"/>
      <c r="E4618" s="13">
        <v>1.2</v>
      </c>
      <c r="F4618" s="71" t="s">
        <v>131</v>
      </c>
      <c r="G4618" s="78"/>
    </row>
    <row r="4619" spans="2:8" hidden="1" outlineLevel="1">
      <c r="B4619" s="76"/>
      <c r="C4619" t="str">
        <f>$D$5964</f>
        <v>Show</v>
      </c>
      <c r="D4619" s="23"/>
      <c r="E4619" s="13"/>
      <c r="F4619" s="70" t="s">
        <v>119</v>
      </c>
      <c r="G4619" s="12" t="s">
        <v>3410</v>
      </c>
    </row>
    <row r="4620" spans="2:8" hidden="1" outlineLevel="1">
      <c r="B4620" s="76"/>
      <c r="C4620" s="9" t="str">
        <f>C4619</f>
        <v>Show</v>
      </c>
      <c r="D4620" s="23"/>
      <c r="E4620" s="13"/>
      <c r="F4620" s="70"/>
      <c r="G4620" s="78" t="s">
        <v>121</v>
      </c>
      <c r="H4620" s="75" t="s">
        <v>2335</v>
      </c>
    </row>
    <row r="4621" spans="2:8" hidden="1" outlineLevel="1">
      <c r="B4621" s="76"/>
      <c r="C4621" t="str">
        <f>$D$5965</f>
        <v>Show</v>
      </c>
      <c r="D4621" s="23"/>
      <c r="E4621" s="13"/>
      <c r="F4621" s="70" t="str">
        <f>CHAR(65+(COUNTIF(C$4619:C4620,"Show")/2))&amp;"."</f>
        <v>B.</v>
      </c>
      <c r="G4621" s="12" t="s">
        <v>3414</v>
      </c>
    </row>
    <row r="4622" spans="2:8" hidden="1" outlineLevel="1">
      <c r="B4622" s="76"/>
      <c r="C4622" s="9" t="str">
        <f>C4621</f>
        <v>Show</v>
      </c>
      <c r="D4622" s="23"/>
      <c r="E4622" s="13"/>
      <c r="F4622" s="70"/>
      <c r="G4622" s="78" t="s">
        <v>121</v>
      </c>
      <c r="H4622" s="75" t="s">
        <v>2350</v>
      </c>
    </row>
    <row r="4623" spans="2:8" hidden="1" outlineLevel="1">
      <c r="B4623" s="76"/>
      <c r="C4623" t="str">
        <f>$D$5966</f>
        <v>Show</v>
      </c>
      <c r="D4623" s="23"/>
      <c r="E4623" s="13"/>
      <c r="F4623" s="70" t="str">
        <f>CHAR(65+(COUNTIF(C$4619:C4622,"Show")/2))&amp;"."</f>
        <v>C.</v>
      </c>
      <c r="G4623" s="12" t="s">
        <v>3449</v>
      </c>
    </row>
    <row r="4624" spans="2:8" hidden="1" outlineLevel="1">
      <c r="B4624" s="76"/>
      <c r="C4624" s="9" t="str">
        <f>C4623</f>
        <v>Show</v>
      </c>
      <c r="D4624" s="23"/>
      <c r="E4624" s="13"/>
      <c r="F4624" s="70"/>
      <c r="G4624" s="78" t="s">
        <v>121</v>
      </c>
      <c r="H4624" s="75" t="s">
        <v>2336</v>
      </c>
    </row>
    <row r="4625" spans="2:8" hidden="1" outlineLevel="1">
      <c r="B4625" s="76"/>
      <c r="C4625" t="str">
        <f>$D$5980</f>
        <v>Show</v>
      </c>
      <c r="D4625" s="23"/>
      <c r="E4625" s="13"/>
      <c r="F4625" s="70" t="str">
        <f>CHAR(65+(COUNTIF(C$4619:C4624,"Show")/2))&amp;"."</f>
        <v>D.</v>
      </c>
      <c r="G4625" s="12" t="s">
        <v>3451</v>
      </c>
    </row>
    <row r="4626" spans="2:8" hidden="1" outlineLevel="1">
      <c r="B4626" s="76"/>
      <c r="C4626" s="9" t="str">
        <f>C4625</f>
        <v>Show</v>
      </c>
      <c r="D4626" s="23"/>
      <c r="E4626" s="13"/>
      <c r="F4626" s="70"/>
      <c r="G4626" s="78" t="s">
        <v>121</v>
      </c>
      <c r="H4626" s="75" t="s">
        <v>2769</v>
      </c>
    </row>
    <row r="4627" spans="2:8" hidden="1" outlineLevel="1">
      <c r="B4627" s="76"/>
      <c r="C4627" t="str">
        <f>$D$5982</f>
        <v>Show</v>
      </c>
      <c r="D4627" s="23"/>
      <c r="E4627" s="13"/>
      <c r="F4627" s="70" t="str">
        <f>CHAR(65+(COUNTIF(C$4619:C4626,"Show")/2))&amp;"."</f>
        <v>E.</v>
      </c>
      <c r="G4627" s="12" t="s">
        <v>3477</v>
      </c>
    </row>
    <row r="4628" spans="2:8" hidden="1" outlineLevel="1">
      <c r="B4628" s="76"/>
      <c r="C4628" s="9" t="str">
        <f>C4627</f>
        <v>Show</v>
      </c>
      <c r="D4628" s="23"/>
      <c r="E4628" s="13"/>
      <c r="F4628" s="70"/>
      <c r="G4628" s="78" t="s">
        <v>121</v>
      </c>
      <c r="H4628" s="75" t="s">
        <v>2893</v>
      </c>
    </row>
    <row r="4629" spans="2:8" hidden="1" outlineLevel="1">
      <c r="B4629" s="76"/>
      <c r="C4629" s="9" t="str">
        <f>C4614</f>
        <v>Show</v>
      </c>
      <c r="D4629" s="23" t="s">
        <v>613</v>
      </c>
      <c r="E4629" s="13"/>
      <c r="G4629" s="13"/>
    </row>
    <row r="4630" spans="2:8" hidden="1" outlineLevel="1">
      <c r="B4630" s="76"/>
      <c r="C4630" s="9" t="str">
        <f>C4614</f>
        <v>Show</v>
      </c>
      <c r="D4630" s="23"/>
      <c r="E4630" s="12" t="str">
        <f>IF(COUNTIF(C4631:C4640,"Show")&gt;0,"2.1 Product Requirements","No EGC Requirements")</f>
        <v>2.1 Product Requirements</v>
      </c>
      <c r="G4630" s="13"/>
    </row>
    <row r="4631" spans="2:8" hidden="1" outlineLevel="1">
      <c r="B4631" s="76"/>
      <c r="C4631" t="str">
        <f>$E$5964</f>
        <v>Show</v>
      </c>
      <c r="D4631" s="23"/>
      <c r="E4631" s="12"/>
      <c r="F4631" s="70" t="s">
        <v>119</v>
      </c>
      <c r="G4631" s="12" t="s">
        <v>3410</v>
      </c>
    </row>
    <row r="4632" spans="2:8" hidden="1" outlineLevel="1">
      <c r="B4632" s="76"/>
      <c r="C4632" s="9" t="str">
        <f>C4631</f>
        <v>Show</v>
      </c>
      <c r="D4632" s="23"/>
      <c r="E4632" s="12"/>
      <c r="G4632" s="30" t="s">
        <v>121</v>
      </c>
      <c r="H4632" s="75" t="s">
        <v>2337</v>
      </c>
    </row>
    <row r="4633" spans="2:8" hidden="1" outlineLevel="1">
      <c r="B4633" s="76"/>
      <c r="C4633" t="str">
        <f>$E$5965</f>
        <v>Show</v>
      </c>
      <c r="D4633" s="23"/>
      <c r="E4633" s="12"/>
      <c r="F4633" s="70" t="str">
        <f>CHAR(65+(COUNTIF(C$4631:C4632,"Show")/2))&amp;"."</f>
        <v>B.</v>
      </c>
      <c r="G4633" s="12" t="s">
        <v>3414</v>
      </c>
    </row>
    <row r="4634" spans="2:8" hidden="1" outlineLevel="1">
      <c r="B4634" s="76"/>
      <c r="C4634" s="9" t="str">
        <f>C4633</f>
        <v>Show</v>
      </c>
      <c r="D4634" s="23"/>
      <c r="E4634" s="12"/>
      <c r="G4634" s="30" t="s">
        <v>121</v>
      </c>
      <c r="H4634" s="75" t="s">
        <v>2351</v>
      </c>
    </row>
    <row r="4635" spans="2:8" hidden="1" outlineLevel="1">
      <c r="B4635" s="76"/>
      <c r="C4635" t="str">
        <f>$E$5966</f>
        <v>Show</v>
      </c>
      <c r="D4635" s="23"/>
      <c r="E4635" s="12"/>
      <c r="F4635" s="70" t="str">
        <f>CHAR(65+(COUNTIF(C$4631:C4634,"Show")/2))&amp;"."</f>
        <v>C.</v>
      </c>
      <c r="G4635" s="12" t="s">
        <v>3449</v>
      </c>
    </row>
    <row r="4636" spans="2:8" hidden="1" outlineLevel="1">
      <c r="B4636" s="76"/>
      <c r="C4636" s="9" t="str">
        <f>C4635</f>
        <v>Show</v>
      </c>
      <c r="D4636" s="23"/>
      <c r="E4636" s="12"/>
      <c r="G4636" s="30" t="s">
        <v>121</v>
      </c>
      <c r="H4636" s="75" t="s">
        <v>2338</v>
      </c>
    </row>
    <row r="4637" spans="2:8" hidden="1" outlineLevel="1">
      <c r="B4637" s="76"/>
      <c r="C4637" t="str">
        <f>$E$5980</f>
        <v>Show</v>
      </c>
      <c r="D4637" s="23"/>
      <c r="E4637" s="12"/>
      <c r="F4637" s="70" t="str">
        <f>CHAR(65+(COUNTIF(C$4631:C4636,"Show")/2))&amp;"."</f>
        <v>D.</v>
      </c>
      <c r="G4637" s="12" t="s">
        <v>3451</v>
      </c>
    </row>
    <row r="4638" spans="2:8" hidden="1" outlineLevel="1">
      <c r="B4638" s="76"/>
      <c r="C4638" s="9" t="str">
        <f>C4637</f>
        <v>Show</v>
      </c>
      <c r="D4638" s="23"/>
      <c r="E4638" s="12"/>
      <c r="G4638" s="78" t="s">
        <v>121</v>
      </c>
      <c r="H4638" s="75" t="s">
        <v>2768</v>
      </c>
    </row>
    <row r="4639" spans="2:8" hidden="1" outlineLevel="1">
      <c r="B4639" s="76"/>
      <c r="C4639" t="str">
        <f>$E$5982</f>
        <v>Show</v>
      </c>
      <c r="D4639" s="23"/>
      <c r="E4639" s="12"/>
      <c r="F4639" s="70" t="str">
        <f>CHAR(65+(COUNTIF(C$4631:C4638,"Show")/2))&amp;"."</f>
        <v>E.</v>
      </c>
      <c r="G4639" s="12" t="s">
        <v>3477</v>
      </c>
    </row>
    <row r="4640" spans="2:8" hidden="1" outlineLevel="1">
      <c r="B4640" s="76"/>
      <c r="C4640" s="9" t="str">
        <f>C4639</f>
        <v>Show</v>
      </c>
      <c r="D4640" s="23"/>
      <c r="E4640" s="12"/>
      <c r="G4640" s="78" t="s">
        <v>121</v>
      </c>
      <c r="H4640" s="75" t="s">
        <v>2894</v>
      </c>
    </row>
    <row r="4641" spans="2:8" hidden="1" outlineLevel="1">
      <c r="B4641" s="76"/>
      <c r="C4641" s="9" t="str">
        <f>C4614</f>
        <v>Show</v>
      </c>
      <c r="D4641" s="23" t="s">
        <v>187</v>
      </c>
      <c r="E4641" s="13"/>
      <c r="G4641" s="13"/>
    </row>
    <row r="4642" spans="2:8" hidden="1" outlineLevel="1">
      <c r="B4642" s="76"/>
      <c r="C4642" s="9" t="str">
        <f>C4614</f>
        <v>Show</v>
      </c>
      <c r="D4642" s="23"/>
      <c r="E4642" s="12" t="str">
        <f>IF(COUNTIF(C4643:C4652,"Show")&gt;0,"3.1 Execution Requirements","No EGC Requirements")</f>
        <v>3.1 Execution Requirements</v>
      </c>
      <c r="G4642" s="13"/>
    </row>
    <row r="4643" spans="2:8" hidden="1" outlineLevel="1">
      <c r="B4643" s="76"/>
      <c r="C4643" t="str">
        <f>$F$5964</f>
        <v>Show</v>
      </c>
      <c r="D4643" s="23"/>
      <c r="E4643" s="13"/>
      <c r="F4643" s="70" t="s">
        <v>119</v>
      </c>
      <c r="G4643" s="12" t="s">
        <v>3410</v>
      </c>
    </row>
    <row r="4644" spans="2:8" ht="30" hidden="1" outlineLevel="1">
      <c r="B4644" s="76"/>
      <c r="C4644" s="9" t="str">
        <f>C4643</f>
        <v>Show</v>
      </c>
      <c r="D4644" s="23"/>
      <c r="E4644" s="13"/>
      <c r="G4644" s="78" t="s">
        <v>121</v>
      </c>
      <c r="H4644" s="75" t="s">
        <v>2339</v>
      </c>
    </row>
    <row r="4645" spans="2:8" hidden="1" outlineLevel="1">
      <c r="B4645" s="76"/>
      <c r="C4645" t="str">
        <f>$F$5965</f>
        <v>Show</v>
      </c>
      <c r="D4645" s="23"/>
      <c r="E4645" s="13"/>
      <c r="F4645" s="70" t="str">
        <f>CHAR(65+(COUNTIF(C$4643:C4644,"Show")/2))&amp;"."</f>
        <v>B.</v>
      </c>
      <c r="G4645" s="12" t="s">
        <v>3414</v>
      </c>
    </row>
    <row r="4646" spans="2:8" ht="30" hidden="1" outlineLevel="1">
      <c r="B4646" s="76"/>
      <c r="C4646" s="9" t="str">
        <f>C4645</f>
        <v>Show</v>
      </c>
      <c r="D4646" s="23"/>
      <c r="E4646" s="13"/>
      <c r="G4646" s="78" t="s">
        <v>121</v>
      </c>
      <c r="H4646" s="75" t="s">
        <v>2352</v>
      </c>
    </row>
    <row r="4647" spans="2:8" hidden="1" outlineLevel="1">
      <c r="B4647" s="76"/>
      <c r="C4647" t="str">
        <f>$F$5966</f>
        <v>Show</v>
      </c>
      <c r="D4647" s="23"/>
      <c r="E4647" s="13"/>
      <c r="F4647" s="70" t="str">
        <f>CHAR(65+(COUNTIF(C$4643:C4646,"Show")/2))&amp;"."</f>
        <v>C.</v>
      </c>
      <c r="G4647" s="12" t="s">
        <v>3449</v>
      </c>
    </row>
    <row r="4648" spans="2:8" hidden="1" outlineLevel="1">
      <c r="B4648" s="76"/>
      <c r="C4648" s="9" t="str">
        <f>C4647</f>
        <v>Show</v>
      </c>
      <c r="D4648" s="23"/>
      <c r="E4648" s="13"/>
      <c r="G4648" s="78" t="s">
        <v>121</v>
      </c>
      <c r="H4648" s="75" t="s">
        <v>2841</v>
      </c>
    </row>
    <row r="4649" spans="2:8" hidden="1" outlineLevel="1">
      <c r="B4649" s="76"/>
      <c r="C4649" t="str">
        <f>$F$5980</f>
        <v>Show</v>
      </c>
      <c r="D4649" s="23"/>
      <c r="E4649" s="13"/>
      <c r="F4649" s="70" t="str">
        <f>CHAR(65+(COUNTIF(C$4643:C4648,"Show")/2))&amp;"."</f>
        <v>D.</v>
      </c>
      <c r="G4649" s="12" t="s">
        <v>3451</v>
      </c>
    </row>
    <row r="4650" spans="2:8" hidden="1" outlineLevel="1">
      <c r="B4650" s="76"/>
      <c r="C4650" s="9" t="str">
        <f>C4649</f>
        <v>Show</v>
      </c>
      <c r="D4650" s="23"/>
      <c r="E4650" s="13"/>
      <c r="G4650" s="78" t="s">
        <v>121</v>
      </c>
      <c r="H4650" s="75" t="s">
        <v>2770</v>
      </c>
    </row>
    <row r="4651" spans="2:8" hidden="1" outlineLevel="1">
      <c r="B4651" s="76"/>
      <c r="C4651" t="str">
        <f>$F$5982</f>
        <v>Show</v>
      </c>
      <c r="D4651" s="23"/>
      <c r="E4651" s="13"/>
      <c r="F4651" s="70" t="str">
        <f>CHAR(65+(COUNTIF(C$4643:C4650,"Show")/2))&amp;"."</f>
        <v>E.</v>
      </c>
      <c r="G4651" s="12" t="s">
        <v>3477</v>
      </c>
    </row>
    <row r="4652" spans="2:8" hidden="1" outlineLevel="1">
      <c r="B4652" s="76"/>
      <c r="C4652" s="9" t="str">
        <f>C4651</f>
        <v>Show</v>
      </c>
      <c r="D4652" s="23"/>
      <c r="E4652" s="13"/>
      <c r="G4652" s="78" t="s">
        <v>121</v>
      </c>
      <c r="H4652" s="75" t="s">
        <v>2895</v>
      </c>
    </row>
    <row r="4653" spans="2:8" hidden="1" outlineLevel="1">
      <c r="B4653" s="76"/>
      <c r="C4653" s="9" t="str">
        <f>C4614</f>
        <v>Show</v>
      </c>
    </row>
    <row r="4654" spans="2:8" collapsed="1">
      <c r="B4654" s="23"/>
      <c r="C4654" s="2" t="str">
        <f>C4655</f>
        <v>Show</v>
      </c>
      <c r="D4654" s="55" t="s">
        <v>320</v>
      </c>
      <c r="E4654" s="55"/>
      <c r="F4654" s="57" t="s">
        <v>321</v>
      </c>
      <c r="G4654" s="53"/>
      <c r="H4654" s="54"/>
    </row>
    <row r="4655" spans="2:8" hidden="1" outlineLevel="1">
      <c r="B4655" s="76"/>
      <c r="C4655" s="2" t="str">
        <f>IF((COUNTIF(C4659:C4661,"Show")+COUNTIF(C4664:C4665,"Show")+COUNTIF(C4668:C4669,"Show"))&gt;0,"Show","Hide")</f>
        <v>Show</v>
      </c>
      <c r="D4655" s="23" t="s">
        <v>117</v>
      </c>
      <c r="E4655" s="13"/>
      <c r="G4655" s="13"/>
    </row>
    <row r="4656" spans="2:8" hidden="1" outlineLevel="1">
      <c r="B4656" s="76"/>
      <c r="C4656" s="9" t="str">
        <f>C4655</f>
        <v>Show</v>
      </c>
      <c r="D4656" s="23"/>
      <c r="E4656" s="13">
        <v>1.1000000000000001</v>
      </c>
      <c r="F4656" s="11" t="s">
        <v>118</v>
      </c>
      <c r="G4656" s="13"/>
    </row>
    <row r="4657" spans="2:8" hidden="1" outlineLevel="1">
      <c r="B4657" s="76"/>
      <c r="C4657" s="9" t="str">
        <f>C4656</f>
        <v>Show</v>
      </c>
      <c r="D4657" s="23"/>
      <c r="E4657" s="13"/>
      <c r="F4657" s="70" t="s">
        <v>119</v>
      </c>
      <c r="G4657" s="18" t="s">
        <v>677</v>
      </c>
    </row>
    <row r="4658" spans="2:8" hidden="1" outlineLevel="1">
      <c r="B4658" s="76"/>
      <c r="C4658" s="9" t="str">
        <f>C4657</f>
        <v>Show</v>
      </c>
      <c r="D4658" s="23"/>
      <c r="E4658" s="13"/>
      <c r="F4658" s="70"/>
      <c r="G4658" s="78" t="s">
        <v>121</v>
      </c>
      <c r="H4658" s="79" t="s">
        <v>2301</v>
      </c>
    </row>
    <row r="4659" spans="2:8" hidden="1" outlineLevel="1">
      <c r="B4659" s="76"/>
      <c r="C4659" s="9" t="str">
        <f>IF(COUNTIF(C4660:C4661,"Show")&gt;0,"Show","Hide")</f>
        <v>Show</v>
      </c>
      <c r="D4659" s="23"/>
      <c r="E4659" s="13">
        <v>1.2</v>
      </c>
      <c r="F4659" s="71" t="s">
        <v>131</v>
      </c>
      <c r="G4659" s="78"/>
    </row>
    <row r="4660" spans="2:8" hidden="1" outlineLevel="1">
      <c r="B4660" s="76"/>
      <c r="C4660" t="str">
        <f>$D$5982</f>
        <v>Show</v>
      </c>
      <c r="D4660" s="23"/>
      <c r="E4660" s="13"/>
      <c r="F4660" s="70" t="s">
        <v>119</v>
      </c>
      <c r="G4660" s="12" t="s">
        <v>3477</v>
      </c>
    </row>
    <row r="4661" spans="2:8" hidden="1" outlineLevel="1">
      <c r="B4661" s="76"/>
      <c r="C4661" s="9" t="str">
        <f>C4660</f>
        <v>Show</v>
      </c>
      <c r="D4661" s="23"/>
      <c r="E4661" s="13"/>
      <c r="F4661" s="70"/>
      <c r="G4661" s="78" t="s">
        <v>121</v>
      </c>
      <c r="H4661" s="75" t="s">
        <v>2893</v>
      </c>
    </row>
    <row r="4662" spans="2:8" hidden="1" outlineLevel="1">
      <c r="B4662" s="76"/>
      <c r="C4662" s="9" t="str">
        <f>C4655</f>
        <v>Show</v>
      </c>
      <c r="D4662" s="23" t="s">
        <v>613</v>
      </c>
      <c r="E4662" s="13"/>
      <c r="G4662" s="13"/>
    </row>
    <row r="4663" spans="2:8" hidden="1" outlineLevel="1">
      <c r="B4663" s="76"/>
      <c r="C4663" s="9" t="str">
        <f>C4655</f>
        <v>Show</v>
      </c>
      <c r="D4663" s="23"/>
      <c r="E4663" s="12" t="str">
        <f>IF(COUNTIF(C4664:C4665,"Show")&gt;0,"2.1 Product Requirements","No EGC Requirements")</f>
        <v>2.1 Product Requirements</v>
      </c>
      <c r="G4663" s="13"/>
    </row>
    <row r="4664" spans="2:8" hidden="1" outlineLevel="1">
      <c r="B4664" s="76"/>
      <c r="C4664" t="str">
        <f>$E$5982</f>
        <v>Show</v>
      </c>
      <c r="D4664" s="23"/>
      <c r="E4664" s="12"/>
      <c r="F4664" s="70" t="s">
        <v>119</v>
      </c>
      <c r="G4664" s="12" t="s">
        <v>3477</v>
      </c>
    </row>
    <row r="4665" spans="2:8" hidden="1" outlineLevel="1">
      <c r="B4665" s="76"/>
      <c r="C4665" s="9" t="str">
        <f>C4664</f>
        <v>Show</v>
      </c>
      <c r="D4665" s="23"/>
      <c r="E4665" s="12"/>
      <c r="G4665" s="30" t="s">
        <v>121</v>
      </c>
      <c r="H4665" s="75" t="s">
        <v>2894</v>
      </c>
    </row>
    <row r="4666" spans="2:8" hidden="1" outlineLevel="1">
      <c r="B4666" s="76"/>
      <c r="C4666" s="9" t="str">
        <f>C4655</f>
        <v>Show</v>
      </c>
      <c r="D4666" s="23" t="s">
        <v>187</v>
      </c>
      <c r="E4666" s="13"/>
      <c r="G4666" s="13"/>
    </row>
    <row r="4667" spans="2:8" hidden="1" outlineLevel="1">
      <c r="B4667" s="76"/>
      <c r="C4667" s="9" t="str">
        <f>C4655</f>
        <v>Show</v>
      </c>
      <c r="D4667" s="23"/>
      <c r="E4667" s="12" t="str">
        <f>IF(COUNTIF(C4668:C4669,"Show")&gt;0,"3.1 Execution Requirements","No EGC Requirements")</f>
        <v>3.1 Execution Requirements</v>
      </c>
      <c r="G4667" s="13"/>
    </row>
    <row r="4668" spans="2:8" hidden="1" outlineLevel="1">
      <c r="B4668" s="76"/>
      <c r="C4668" t="str">
        <f>$F$5982</f>
        <v>Show</v>
      </c>
      <c r="D4668" s="23"/>
      <c r="E4668" s="13"/>
      <c r="F4668" s="70" t="s">
        <v>119</v>
      </c>
      <c r="G4668" s="12" t="s">
        <v>3477</v>
      </c>
    </row>
    <row r="4669" spans="2:8" hidden="1" outlineLevel="1">
      <c r="B4669" s="76"/>
      <c r="C4669" s="9" t="str">
        <f>C4668</f>
        <v>Show</v>
      </c>
      <c r="D4669" s="23"/>
      <c r="E4669" s="13"/>
      <c r="G4669" s="78" t="s">
        <v>121</v>
      </c>
      <c r="H4669" s="75" t="s">
        <v>2895</v>
      </c>
    </row>
    <row r="4670" spans="2:8" hidden="1" outlineLevel="1">
      <c r="B4670" s="76"/>
      <c r="C4670" s="9" t="str">
        <f>C4655</f>
        <v>Show</v>
      </c>
    </row>
    <row r="4671" spans="2:8" collapsed="1">
      <c r="B4671" s="23"/>
      <c r="C4671" s="2" t="str">
        <f>C4672</f>
        <v>Show</v>
      </c>
      <c r="D4671" s="55" t="s">
        <v>1713</v>
      </c>
      <c r="E4671" s="60"/>
      <c r="F4671" s="57" t="s">
        <v>1711</v>
      </c>
      <c r="G4671" s="53"/>
      <c r="H4671" s="54"/>
    </row>
    <row r="4672" spans="2:8" hidden="1" outlineLevel="1">
      <c r="B4672" s="76"/>
      <c r="C4672" s="2" t="str">
        <f>IF((COUNTIF(C4676:C4678,"Show")+COUNTIF(C4681:C4682,"Show")+COUNTIF(C4685:C4686,"Show"))&gt;0,"Show","Hide")</f>
        <v>Show</v>
      </c>
      <c r="D4672" s="23" t="s">
        <v>117</v>
      </c>
      <c r="E4672" s="13"/>
      <c r="G4672" s="13"/>
    </row>
    <row r="4673" spans="2:8" hidden="1" outlineLevel="1">
      <c r="B4673" s="76"/>
      <c r="C4673" s="9" t="str">
        <f>C4672</f>
        <v>Show</v>
      </c>
      <c r="D4673" s="23"/>
      <c r="E4673" s="13">
        <v>1.1000000000000001</v>
      </c>
      <c r="F4673" s="11" t="s">
        <v>118</v>
      </c>
      <c r="G4673" s="13"/>
    </row>
    <row r="4674" spans="2:8" hidden="1" outlineLevel="1">
      <c r="B4674" s="76"/>
      <c r="C4674" s="9" t="str">
        <f>C4673</f>
        <v>Show</v>
      </c>
      <c r="D4674" s="23"/>
      <c r="E4674" s="13"/>
      <c r="F4674" s="70" t="s">
        <v>119</v>
      </c>
      <c r="G4674" s="18" t="s">
        <v>677</v>
      </c>
    </row>
    <row r="4675" spans="2:8" hidden="1" outlineLevel="1">
      <c r="B4675" s="76"/>
      <c r="C4675" s="9" t="str">
        <f>C4674</f>
        <v>Show</v>
      </c>
      <c r="D4675" s="23"/>
      <c r="E4675" s="13"/>
      <c r="F4675" s="70"/>
      <c r="G4675" s="78" t="s">
        <v>121</v>
      </c>
      <c r="H4675" s="79" t="s">
        <v>2301</v>
      </c>
    </row>
    <row r="4676" spans="2:8" hidden="1" outlineLevel="1">
      <c r="B4676" s="76"/>
      <c r="C4676" s="9" t="str">
        <f>IF(COUNTIF(C4677:C4678,"Show")&gt;0,"Show","Hide")</f>
        <v>Show</v>
      </c>
      <c r="D4676" s="23"/>
      <c r="E4676" s="13">
        <v>1.2</v>
      </c>
      <c r="F4676" s="71" t="s">
        <v>131</v>
      </c>
      <c r="G4676" s="78"/>
    </row>
    <row r="4677" spans="2:8" hidden="1" outlineLevel="1">
      <c r="B4677" s="76"/>
      <c r="C4677" t="str">
        <f>$D$5982</f>
        <v>Show</v>
      </c>
      <c r="D4677" s="23"/>
      <c r="E4677" s="13"/>
      <c r="F4677" s="70" t="s">
        <v>119</v>
      </c>
      <c r="G4677" s="12" t="s">
        <v>3477</v>
      </c>
    </row>
    <row r="4678" spans="2:8" hidden="1" outlineLevel="1">
      <c r="B4678" s="76"/>
      <c r="C4678" s="9" t="str">
        <f>C4677</f>
        <v>Show</v>
      </c>
      <c r="D4678" s="23"/>
      <c r="E4678" s="13"/>
      <c r="F4678" s="70"/>
      <c r="G4678" s="78" t="s">
        <v>121</v>
      </c>
      <c r="H4678" s="75" t="s">
        <v>2893</v>
      </c>
    </row>
    <row r="4679" spans="2:8" hidden="1" outlineLevel="1">
      <c r="B4679" s="76"/>
      <c r="C4679" s="9" t="str">
        <f>C4672</f>
        <v>Show</v>
      </c>
      <c r="D4679" s="23" t="s">
        <v>613</v>
      </c>
      <c r="E4679" s="13"/>
      <c r="G4679" s="13"/>
    </row>
    <row r="4680" spans="2:8" hidden="1" outlineLevel="1">
      <c r="B4680" s="76"/>
      <c r="C4680" s="9" t="str">
        <f>C4672</f>
        <v>Show</v>
      </c>
      <c r="D4680" s="23"/>
      <c r="E4680" s="12" t="str">
        <f>IF(COUNTIF(C4681:C4682,"Show")&gt;0,"2.1 Product Requirements","No EGC Requirements")</f>
        <v>2.1 Product Requirements</v>
      </c>
      <c r="G4680" s="13"/>
    </row>
    <row r="4681" spans="2:8" hidden="1" outlineLevel="1">
      <c r="B4681" s="76"/>
      <c r="C4681" t="str">
        <f>$E$5982</f>
        <v>Show</v>
      </c>
      <c r="D4681" s="23"/>
      <c r="E4681" s="12"/>
      <c r="F4681" s="70" t="s">
        <v>119</v>
      </c>
      <c r="G4681" s="12" t="s">
        <v>3477</v>
      </c>
    </row>
    <row r="4682" spans="2:8" hidden="1" outlineLevel="1">
      <c r="B4682" s="76"/>
      <c r="C4682" s="9" t="str">
        <f>C4681</f>
        <v>Show</v>
      </c>
      <c r="D4682" s="23"/>
      <c r="E4682" s="12"/>
      <c r="G4682" s="30" t="s">
        <v>121</v>
      </c>
      <c r="H4682" s="75" t="s">
        <v>2894</v>
      </c>
    </row>
    <row r="4683" spans="2:8" hidden="1" outlineLevel="1">
      <c r="B4683" s="76"/>
      <c r="C4683" s="9" t="str">
        <f>C4672</f>
        <v>Show</v>
      </c>
      <c r="D4683" s="23" t="s">
        <v>187</v>
      </c>
      <c r="E4683" s="13"/>
      <c r="G4683" s="13"/>
    </row>
    <row r="4684" spans="2:8" hidden="1" outlineLevel="1">
      <c r="B4684" s="76"/>
      <c r="C4684" s="9" t="str">
        <f>C4672</f>
        <v>Show</v>
      </c>
      <c r="D4684" s="23"/>
      <c r="E4684" s="12" t="str">
        <f>IF(COUNTIF(C4685:C4686,"Show")&gt;0,"3.1 Execution Requirements","No EGC Requirements")</f>
        <v>3.1 Execution Requirements</v>
      </c>
      <c r="G4684" s="13"/>
    </row>
    <row r="4685" spans="2:8" hidden="1" outlineLevel="1">
      <c r="B4685" s="76"/>
      <c r="C4685" t="str">
        <f>$F$5982</f>
        <v>Show</v>
      </c>
      <c r="D4685" s="23"/>
      <c r="E4685" s="13"/>
      <c r="F4685" s="70" t="s">
        <v>119</v>
      </c>
      <c r="G4685" s="12" t="s">
        <v>3477</v>
      </c>
    </row>
    <row r="4686" spans="2:8" hidden="1" outlineLevel="1">
      <c r="B4686" s="76"/>
      <c r="C4686" s="9" t="str">
        <f>C4685</f>
        <v>Show</v>
      </c>
      <c r="D4686" s="23"/>
      <c r="E4686" s="13"/>
      <c r="G4686" s="78" t="s">
        <v>121</v>
      </c>
      <c r="H4686" s="75" t="s">
        <v>2895</v>
      </c>
    </row>
    <row r="4687" spans="2:8" hidden="1" outlineLevel="1">
      <c r="B4687" s="76"/>
      <c r="C4687" s="9" t="str">
        <f>C4672</f>
        <v>Show</v>
      </c>
    </row>
    <row r="4688" spans="2:8" collapsed="1">
      <c r="B4688" s="23"/>
      <c r="C4688" s="2" t="str">
        <f>C4689</f>
        <v>Show</v>
      </c>
      <c r="D4688" s="55" t="s">
        <v>1714</v>
      </c>
      <c r="E4688" s="55"/>
      <c r="F4688" s="57" t="s">
        <v>1712</v>
      </c>
      <c r="G4688" s="53"/>
      <c r="H4688" s="54"/>
    </row>
    <row r="4689" spans="2:8" hidden="1" outlineLevel="1">
      <c r="B4689" s="76"/>
      <c r="C4689" s="2" t="str">
        <f>IF((COUNTIF(C4693:C4697,"Show")+COUNTIF(C4700:C4703,"Show")+COUNTIF(C4706:C4707,"Show"))&gt;0,"Show","Hide")</f>
        <v>Show</v>
      </c>
      <c r="D4689" s="23" t="s">
        <v>117</v>
      </c>
      <c r="E4689" s="13"/>
      <c r="G4689" s="13"/>
    </row>
    <row r="4690" spans="2:8" hidden="1" outlineLevel="1">
      <c r="B4690" s="76"/>
      <c r="C4690" s="9" t="str">
        <f>C4689</f>
        <v>Show</v>
      </c>
      <c r="D4690" s="23"/>
      <c r="E4690" s="13">
        <v>1.1000000000000001</v>
      </c>
      <c r="F4690" s="11" t="s">
        <v>118</v>
      </c>
      <c r="G4690" s="13"/>
    </row>
    <row r="4691" spans="2:8" hidden="1" outlineLevel="1">
      <c r="B4691" s="76"/>
      <c r="C4691" s="9" t="str">
        <f>C4690</f>
        <v>Show</v>
      </c>
      <c r="D4691" s="23"/>
      <c r="E4691" s="13"/>
      <c r="F4691" s="70" t="s">
        <v>119</v>
      </c>
      <c r="G4691" s="18" t="s">
        <v>677</v>
      </c>
    </row>
    <row r="4692" spans="2:8" hidden="1" outlineLevel="1">
      <c r="B4692" s="76"/>
      <c r="C4692" s="9" t="str">
        <f>C4691</f>
        <v>Show</v>
      </c>
      <c r="D4692" s="23"/>
      <c r="E4692" s="13"/>
      <c r="F4692" s="70"/>
      <c r="G4692" s="78" t="s">
        <v>121</v>
      </c>
      <c r="H4692" s="79" t="s">
        <v>2301</v>
      </c>
    </row>
    <row r="4693" spans="2:8" hidden="1" outlineLevel="1">
      <c r="B4693" s="76"/>
      <c r="C4693" s="9" t="str">
        <f>IF(COUNTIF(C4694:C4697,"Show")&gt;0,"Show","Hide")</f>
        <v>Show</v>
      </c>
      <c r="D4693" s="23"/>
      <c r="E4693" s="13">
        <v>1.2</v>
      </c>
      <c r="F4693" s="71" t="s">
        <v>131</v>
      </c>
      <c r="G4693" s="78"/>
    </row>
    <row r="4694" spans="2:8" hidden="1" outlineLevel="1">
      <c r="B4694" s="76"/>
      <c r="C4694" t="str">
        <f>$D$5983</f>
        <v>Show</v>
      </c>
      <c r="D4694" s="23"/>
      <c r="E4694" s="13"/>
      <c r="F4694" s="70" t="s">
        <v>119</v>
      </c>
      <c r="G4694" s="12" t="s">
        <v>3479</v>
      </c>
    </row>
    <row r="4695" spans="2:8" hidden="1" outlineLevel="1">
      <c r="B4695" s="76"/>
      <c r="C4695" s="9" t="str">
        <f>C4694</f>
        <v>Show</v>
      </c>
      <c r="D4695" s="23"/>
      <c r="E4695" s="13"/>
      <c r="F4695" s="70"/>
      <c r="G4695" s="78" t="s">
        <v>121</v>
      </c>
      <c r="H4695" s="75" t="s">
        <v>2898</v>
      </c>
    </row>
    <row r="4696" spans="2:8" hidden="1" outlineLevel="1">
      <c r="B4696" s="76"/>
      <c r="C4696" t="str">
        <f>$D$5984</f>
        <v>Show</v>
      </c>
      <c r="D4696" s="23"/>
      <c r="E4696" s="13"/>
      <c r="F4696" s="70" t="str">
        <f>CHAR(65+(COUNTIF(C$4694:C4695,"Show")/2))&amp;"."</f>
        <v>B.</v>
      </c>
      <c r="G4696" s="12" t="s">
        <v>3478</v>
      </c>
    </row>
    <row r="4697" spans="2:8" hidden="1" outlineLevel="1">
      <c r="B4697" s="76"/>
      <c r="C4697" s="9" t="str">
        <f>C4696</f>
        <v>Show</v>
      </c>
      <c r="D4697" s="23"/>
      <c r="E4697" s="13"/>
      <c r="F4697" s="70"/>
      <c r="G4697" s="78" t="s">
        <v>121</v>
      </c>
      <c r="H4697" s="75" t="s">
        <v>2318</v>
      </c>
    </row>
    <row r="4698" spans="2:8" hidden="1" outlineLevel="1">
      <c r="B4698" s="76"/>
      <c r="C4698" s="9" t="str">
        <f>C4689</f>
        <v>Show</v>
      </c>
      <c r="D4698" s="23" t="s">
        <v>613</v>
      </c>
      <c r="E4698" s="13"/>
      <c r="G4698" s="13"/>
    </row>
    <row r="4699" spans="2:8" hidden="1" outlineLevel="1">
      <c r="B4699" s="76"/>
      <c r="C4699" s="9" t="str">
        <f>C4689</f>
        <v>Show</v>
      </c>
      <c r="D4699" s="23"/>
      <c r="E4699" s="12" t="str">
        <f>IF(COUNTIF(C4700:C4703,"Show")&gt;0,"2.1 Product Requirements","No EGC Requirements")</f>
        <v>2.1 Product Requirements</v>
      </c>
      <c r="G4699" s="13"/>
    </row>
    <row r="4700" spans="2:8" hidden="1" outlineLevel="1">
      <c r="B4700" s="76"/>
      <c r="C4700" t="str">
        <f>$E$5983</f>
        <v>Show</v>
      </c>
      <c r="D4700" s="23"/>
      <c r="E4700" s="12"/>
      <c r="F4700" s="70" t="s">
        <v>119</v>
      </c>
      <c r="G4700" s="12" t="s">
        <v>3479</v>
      </c>
    </row>
    <row r="4701" spans="2:8" hidden="1" outlineLevel="1">
      <c r="B4701" s="76"/>
      <c r="C4701" s="9" t="str">
        <f>C4700</f>
        <v>Show</v>
      </c>
      <c r="D4701" s="23"/>
      <c r="E4701" s="12"/>
      <c r="G4701" s="30" t="s">
        <v>121</v>
      </c>
      <c r="H4701" s="75" t="s">
        <v>2899</v>
      </c>
    </row>
    <row r="4702" spans="2:8" hidden="1" outlineLevel="1">
      <c r="B4702" s="76"/>
      <c r="C4702" t="str">
        <f>$E$5984</f>
        <v>Show</v>
      </c>
      <c r="D4702" s="23"/>
      <c r="E4702" s="12"/>
      <c r="F4702" s="70" t="str">
        <f>CHAR(65+(COUNTIF(C$4700:C4701,"Show")/2))&amp;"."</f>
        <v>B.</v>
      </c>
      <c r="G4702" s="12" t="s">
        <v>3478</v>
      </c>
    </row>
    <row r="4703" spans="2:8" hidden="1" outlineLevel="1">
      <c r="B4703" s="76"/>
      <c r="C4703" s="9" t="str">
        <f>C4702</f>
        <v>Show</v>
      </c>
      <c r="D4703" s="23"/>
      <c r="E4703" s="12"/>
      <c r="G4703" s="30" t="s">
        <v>121</v>
      </c>
      <c r="H4703" s="75" t="s">
        <v>2321</v>
      </c>
    </row>
    <row r="4704" spans="2:8" hidden="1" outlineLevel="1">
      <c r="B4704" s="76"/>
      <c r="C4704" s="9" t="str">
        <f>C4689</f>
        <v>Show</v>
      </c>
      <c r="D4704" s="23" t="s">
        <v>187</v>
      </c>
      <c r="E4704" s="13"/>
      <c r="G4704" s="13"/>
    </row>
    <row r="4705" spans="2:8" hidden="1" outlineLevel="1">
      <c r="B4705" s="76"/>
      <c r="C4705" s="9" t="str">
        <f>C4689</f>
        <v>Show</v>
      </c>
      <c r="D4705" s="23"/>
      <c r="E4705" s="12" t="str">
        <f>IF(COUNTIF(C4706:C4707,"Show")&gt;0,"3.1 Execution Requirements","No EGC Requirements")</f>
        <v>3.1 Execution Requirements</v>
      </c>
      <c r="G4705" s="13"/>
    </row>
    <row r="4706" spans="2:8" hidden="1" outlineLevel="1">
      <c r="B4706" s="76"/>
      <c r="C4706" t="str">
        <f>$F$5984</f>
        <v>Show</v>
      </c>
      <c r="D4706" s="23"/>
      <c r="E4706" s="13"/>
      <c r="F4706" s="70" t="s">
        <v>119</v>
      </c>
      <c r="G4706" s="12" t="s">
        <v>3478</v>
      </c>
    </row>
    <row r="4707" spans="2:8" hidden="1" outlineLevel="1">
      <c r="B4707" s="76"/>
      <c r="C4707" s="9" t="str">
        <f>C4706</f>
        <v>Show</v>
      </c>
      <c r="D4707" s="23"/>
      <c r="E4707" s="13"/>
      <c r="G4707" s="78" t="s">
        <v>121</v>
      </c>
      <c r="H4707" s="75" t="s">
        <v>2319</v>
      </c>
    </row>
    <row r="4708" spans="2:8" hidden="1" outlineLevel="1">
      <c r="B4708" s="76"/>
      <c r="C4708" s="9" t="str">
        <f>C4689</f>
        <v>Show</v>
      </c>
    </row>
    <row r="4709" spans="2:8" collapsed="1">
      <c r="B4709" s="23"/>
      <c r="C4709" s="2" t="str">
        <f>C4710</f>
        <v>Show</v>
      </c>
      <c r="D4709" s="55" t="s">
        <v>1797</v>
      </c>
      <c r="E4709" s="55"/>
      <c r="F4709" s="57" t="s">
        <v>1798</v>
      </c>
      <c r="G4709" s="53"/>
      <c r="H4709" s="54"/>
    </row>
    <row r="4710" spans="2:8" hidden="1" outlineLevel="1">
      <c r="B4710" s="76"/>
      <c r="C4710" s="2" t="str">
        <f>IF((COUNTIF(C4714:C4718,"Show")+COUNTIF(C4721:C4724,"Show")+COUNTIF(C4727:C4730,"Show"))&gt;0,"Show","Hide")</f>
        <v>Show</v>
      </c>
      <c r="D4710" s="23" t="s">
        <v>117</v>
      </c>
      <c r="E4710" s="13"/>
      <c r="G4710" s="13"/>
    </row>
    <row r="4711" spans="2:8" hidden="1" outlineLevel="1">
      <c r="B4711" s="76"/>
      <c r="C4711" s="9" t="str">
        <f>C4710</f>
        <v>Show</v>
      </c>
      <c r="D4711" s="23"/>
      <c r="E4711" s="13">
        <v>1.1000000000000001</v>
      </c>
      <c r="F4711" s="11" t="s">
        <v>118</v>
      </c>
      <c r="G4711" s="13"/>
    </row>
    <row r="4712" spans="2:8" hidden="1" outlineLevel="1">
      <c r="B4712" s="76"/>
      <c r="C4712" s="9" t="str">
        <f>C4711</f>
        <v>Show</v>
      </c>
      <c r="D4712" s="23"/>
      <c r="E4712" s="13"/>
      <c r="F4712" s="70" t="s">
        <v>119</v>
      </c>
      <c r="G4712" s="18" t="s">
        <v>677</v>
      </c>
    </row>
    <row r="4713" spans="2:8" hidden="1" outlineLevel="1">
      <c r="B4713" s="76"/>
      <c r="C4713" s="9" t="str">
        <f>C4712</f>
        <v>Show</v>
      </c>
      <c r="D4713" s="23"/>
      <c r="E4713" s="13"/>
      <c r="F4713" s="70"/>
      <c r="G4713" s="78" t="s">
        <v>121</v>
      </c>
      <c r="H4713" s="79" t="s">
        <v>2301</v>
      </c>
    </row>
    <row r="4714" spans="2:8" hidden="1" outlineLevel="1">
      <c r="B4714" s="76"/>
      <c r="C4714" s="9" t="str">
        <f>IF(COUNTIF(C4715:C4718,"Show")&gt;0,"Show","Hide")</f>
        <v>Show</v>
      </c>
      <c r="D4714" s="23"/>
      <c r="E4714" s="13">
        <v>1.2</v>
      </c>
      <c r="F4714" s="71" t="s">
        <v>131</v>
      </c>
      <c r="G4714" s="78"/>
    </row>
    <row r="4715" spans="2:8" hidden="1" outlineLevel="1">
      <c r="B4715" s="76"/>
      <c r="C4715" t="str">
        <f>$D$5953</f>
        <v>Show</v>
      </c>
      <c r="D4715" s="23"/>
      <c r="E4715" s="13"/>
      <c r="F4715" s="70" t="s">
        <v>119</v>
      </c>
      <c r="G4715" s="12" t="s">
        <v>3438</v>
      </c>
    </row>
    <row r="4716" spans="2:8" hidden="1" outlineLevel="1">
      <c r="B4716" s="76"/>
      <c r="C4716" s="9" t="str">
        <f>C4715</f>
        <v>Show</v>
      </c>
      <c r="D4716" s="23"/>
      <c r="E4716" s="13"/>
      <c r="F4716" s="70"/>
      <c r="G4716" s="78" t="s">
        <v>121</v>
      </c>
      <c r="H4716" s="75" t="s">
        <v>2546</v>
      </c>
    </row>
    <row r="4717" spans="2:8" hidden="1" outlineLevel="1">
      <c r="B4717" s="76"/>
      <c r="C4717" t="str">
        <f>$D$5979</f>
        <v>Show</v>
      </c>
      <c r="D4717" s="23"/>
      <c r="E4717" s="13"/>
      <c r="F4717" s="70" t="str">
        <f>CHAR(65+(COUNTIF(C$4715:C4716,"Show")/2))&amp;"."</f>
        <v>B.</v>
      </c>
      <c r="G4717" s="12" t="s">
        <v>3476</v>
      </c>
    </row>
    <row r="4718" spans="2:8" hidden="1" outlineLevel="1">
      <c r="B4718" s="76"/>
      <c r="C4718" s="9" t="str">
        <f>C4717</f>
        <v>Show</v>
      </c>
      <c r="D4718" s="23"/>
      <c r="E4718" s="13"/>
      <c r="F4718" s="70"/>
      <c r="G4718" s="78" t="s">
        <v>121</v>
      </c>
      <c r="H4718" s="75" t="s">
        <v>2318</v>
      </c>
    </row>
    <row r="4719" spans="2:8" hidden="1" outlineLevel="1">
      <c r="B4719" s="76"/>
      <c r="C4719" s="9" t="str">
        <f>C4710</f>
        <v>Show</v>
      </c>
      <c r="D4719" s="23" t="s">
        <v>613</v>
      </c>
      <c r="E4719" s="13"/>
      <c r="G4719" s="13"/>
    </row>
    <row r="4720" spans="2:8" hidden="1" outlineLevel="1">
      <c r="B4720" s="76"/>
      <c r="C4720" s="9" t="str">
        <f>C4710</f>
        <v>Show</v>
      </c>
      <c r="D4720" s="23"/>
      <c r="E4720" s="12" t="str">
        <f>IF(COUNTIF(C4721:C4724,"Show")&gt;0,"2.1 Product Requirements","No EGC Requirements")</f>
        <v>2.1 Product Requirements</v>
      </c>
      <c r="G4720" s="13"/>
    </row>
    <row r="4721" spans="2:8" hidden="1" outlineLevel="1">
      <c r="B4721" s="76"/>
      <c r="C4721" t="str">
        <f>$E$5953</f>
        <v>Show</v>
      </c>
      <c r="D4721" s="23"/>
      <c r="E4721" s="12"/>
      <c r="F4721" s="70" t="s">
        <v>119</v>
      </c>
      <c r="G4721" s="12" t="s">
        <v>3438</v>
      </c>
    </row>
    <row r="4722" spans="2:8" hidden="1" outlineLevel="1">
      <c r="B4722" s="76"/>
      <c r="C4722" s="9" t="str">
        <f>C4721</f>
        <v>Show</v>
      </c>
      <c r="D4722" s="23"/>
      <c r="E4722" s="12"/>
      <c r="G4722" s="78" t="s">
        <v>121</v>
      </c>
      <c r="H4722" s="75" t="s">
        <v>2894</v>
      </c>
    </row>
    <row r="4723" spans="2:8" hidden="1" outlineLevel="1">
      <c r="B4723" s="76"/>
      <c r="C4723" t="str">
        <f>$E$5979</f>
        <v>Show</v>
      </c>
      <c r="D4723" s="23"/>
      <c r="E4723" s="12"/>
      <c r="F4723" s="70" t="str">
        <f>CHAR(65+(COUNTIF(C$4721:C4722,"Show")/2))&amp;"."</f>
        <v>B.</v>
      </c>
      <c r="G4723" s="12" t="s">
        <v>3476</v>
      </c>
    </row>
    <row r="4724" spans="2:8" hidden="1" outlineLevel="1">
      <c r="B4724" s="76"/>
      <c r="C4724" s="9" t="str">
        <f>C4723</f>
        <v>Show</v>
      </c>
      <c r="D4724" s="23"/>
      <c r="E4724" s="12"/>
      <c r="G4724" s="78" t="s">
        <v>121</v>
      </c>
      <c r="H4724" s="75" t="s">
        <v>2321</v>
      </c>
    </row>
    <row r="4725" spans="2:8" hidden="1" outlineLevel="1">
      <c r="B4725" s="76"/>
      <c r="C4725" s="9" t="str">
        <f>C4710</f>
        <v>Show</v>
      </c>
      <c r="D4725" s="23" t="s">
        <v>187</v>
      </c>
      <c r="E4725" s="13"/>
      <c r="G4725" s="13"/>
    </row>
    <row r="4726" spans="2:8" hidden="1" outlineLevel="1">
      <c r="B4726" s="76"/>
      <c r="C4726" s="9" t="str">
        <f>C4710</f>
        <v>Show</v>
      </c>
      <c r="D4726" s="23"/>
      <c r="E4726" s="12" t="str">
        <f>IF(COUNTIF(C4727:C4730,"Show")&gt;0,"3.1 Execution Requirements","No EGC Requirements")</f>
        <v>3.1 Execution Requirements</v>
      </c>
      <c r="G4726" s="13"/>
    </row>
    <row r="4727" spans="2:8" hidden="1" outlineLevel="1">
      <c r="B4727" s="76"/>
      <c r="C4727" t="str">
        <f>$F$5953</f>
        <v>Show</v>
      </c>
      <c r="D4727" s="23"/>
      <c r="E4727" s="13"/>
      <c r="F4727" s="70" t="s">
        <v>119</v>
      </c>
      <c r="G4727" s="12" t="s">
        <v>3438</v>
      </c>
    </row>
    <row r="4728" spans="2:8" hidden="1" outlineLevel="1">
      <c r="B4728" s="76"/>
      <c r="C4728" s="9" t="str">
        <f>C4727</f>
        <v>Show</v>
      </c>
      <c r="D4728" s="23"/>
      <c r="E4728" s="13"/>
      <c r="G4728" s="78" t="s">
        <v>121</v>
      </c>
      <c r="H4728" s="75" t="s">
        <v>2895</v>
      </c>
    </row>
    <row r="4729" spans="2:8" hidden="1" outlineLevel="1">
      <c r="B4729" s="76"/>
      <c r="C4729" t="str">
        <f>$F$5979</f>
        <v>Show</v>
      </c>
      <c r="D4729" s="23"/>
      <c r="E4729" s="13"/>
      <c r="F4729" s="70" t="str">
        <f>CHAR(65+(COUNTIF(C$4727:C4728,"Show")/2))&amp;"."</f>
        <v>B.</v>
      </c>
      <c r="G4729" s="12" t="s">
        <v>3476</v>
      </c>
    </row>
    <row r="4730" spans="2:8" hidden="1" outlineLevel="1">
      <c r="B4730" s="76"/>
      <c r="C4730" s="9" t="str">
        <f>C4729</f>
        <v>Show</v>
      </c>
      <c r="D4730" s="23"/>
      <c r="E4730" s="13"/>
      <c r="G4730" s="78" t="s">
        <v>121</v>
      </c>
      <c r="H4730" s="75" t="s">
        <v>2319</v>
      </c>
    </row>
    <row r="4731" spans="2:8" hidden="1" outlineLevel="1">
      <c r="B4731" s="76"/>
      <c r="C4731" s="9" t="str">
        <f>C4710</f>
        <v>Show</v>
      </c>
    </row>
    <row r="4732" spans="2:8" collapsed="1">
      <c r="B4732" s="23"/>
      <c r="C4732" s="2" t="str">
        <f>C4733</f>
        <v>Show</v>
      </c>
      <c r="D4732" s="60" t="s">
        <v>322</v>
      </c>
      <c r="E4732" s="55"/>
      <c r="F4732" s="56" t="s">
        <v>323</v>
      </c>
      <c r="G4732" s="53"/>
      <c r="H4732" s="54"/>
    </row>
    <row r="4733" spans="2:8" hidden="1" outlineLevel="1">
      <c r="B4733" s="76"/>
      <c r="C4733" s="2" t="str">
        <f>IF((COUNTIF(C4737:C4747,"Show")+COUNTIF(C4750:C4759,"Show")+COUNTIF(C4762:C4771,"Show"))&gt;0,"Show","Hide")</f>
        <v>Show</v>
      </c>
      <c r="D4733" s="23" t="s">
        <v>117</v>
      </c>
      <c r="E4733" s="13"/>
      <c r="G4733" s="13"/>
    </row>
    <row r="4734" spans="2:8" hidden="1" outlineLevel="1">
      <c r="B4734" s="76"/>
      <c r="C4734" s="9" t="str">
        <f>C4733</f>
        <v>Show</v>
      </c>
      <c r="D4734" s="23"/>
      <c r="E4734" s="13">
        <v>1.1000000000000001</v>
      </c>
      <c r="F4734" s="11" t="s">
        <v>118</v>
      </c>
      <c r="G4734" s="13"/>
    </row>
    <row r="4735" spans="2:8" hidden="1" outlineLevel="1">
      <c r="B4735" s="76"/>
      <c r="C4735" s="9" t="str">
        <f>C4734</f>
        <v>Show</v>
      </c>
      <c r="D4735" s="23"/>
      <c r="E4735" s="13"/>
      <c r="F4735" s="70" t="s">
        <v>119</v>
      </c>
      <c r="G4735" s="18" t="s">
        <v>677</v>
      </c>
    </row>
    <row r="4736" spans="2:8" hidden="1" outlineLevel="1">
      <c r="B4736" s="76"/>
      <c r="C4736" s="9" t="str">
        <f>C4735</f>
        <v>Show</v>
      </c>
      <c r="D4736" s="23"/>
      <c r="E4736" s="13"/>
      <c r="F4736" s="70"/>
      <c r="G4736" s="78" t="s">
        <v>121</v>
      </c>
      <c r="H4736" s="79" t="s">
        <v>2301</v>
      </c>
    </row>
    <row r="4737" spans="2:8" hidden="1" outlineLevel="1">
      <c r="B4737" s="76"/>
      <c r="C4737" s="9" t="str">
        <f>IF(COUNTIF(C4738:C4747,"Show")&gt;0,"Show","Hide")</f>
        <v>Show</v>
      </c>
      <c r="D4737" s="23"/>
      <c r="E4737" s="13">
        <v>1.2</v>
      </c>
      <c r="F4737" s="71" t="s">
        <v>131</v>
      </c>
      <c r="G4737" s="78"/>
    </row>
    <row r="4738" spans="2:8" hidden="1" outlineLevel="1">
      <c r="B4738" s="76"/>
      <c r="C4738" t="str">
        <f>$D$5964</f>
        <v>Show</v>
      </c>
      <c r="D4738" s="23"/>
      <c r="E4738" s="13"/>
      <c r="F4738" s="70" t="s">
        <v>119</v>
      </c>
      <c r="G4738" s="12" t="s">
        <v>3410</v>
      </c>
    </row>
    <row r="4739" spans="2:8" hidden="1" outlineLevel="1">
      <c r="B4739" s="76"/>
      <c r="C4739" s="9" t="str">
        <f>C4738</f>
        <v>Show</v>
      </c>
      <c r="D4739" s="23"/>
      <c r="E4739" s="13"/>
      <c r="F4739" s="70"/>
      <c r="G4739" s="78" t="s">
        <v>121</v>
      </c>
      <c r="H4739" s="75" t="s">
        <v>2335</v>
      </c>
    </row>
    <row r="4740" spans="2:8" hidden="1" outlineLevel="1">
      <c r="B4740" s="76"/>
      <c r="C4740" t="str">
        <f>$D$5965</f>
        <v>Show</v>
      </c>
      <c r="D4740" s="23"/>
      <c r="E4740" s="13"/>
      <c r="F4740" s="70" t="str">
        <f>CHAR(65+(COUNTIF(C$4738:C4739,"Show")/2))&amp;"."</f>
        <v>B.</v>
      </c>
      <c r="G4740" s="12" t="s">
        <v>3414</v>
      </c>
    </row>
    <row r="4741" spans="2:8" hidden="1" outlineLevel="1">
      <c r="B4741" s="76"/>
      <c r="C4741" s="9" t="str">
        <f>C4740</f>
        <v>Show</v>
      </c>
      <c r="D4741" s="23"/>
      <c r="E4741" s="13"/>
      <c r="F4741" s="70"/>
      <c r="G4741" s="78" t="s">
        <v>121</v>
      </c>
      <c r="H4741" s="75" t="s">
        <v>2350</v>
      </c>
    </row>
    <row r="4742" spans="2:8" hidden="1" outlineLevel="1">
      <c r="B4742" s="76"/>
      <c r="C4742" t="str">
        <f>$D$5966</f>
        <v>Show</v>
      </c>
      <c r="D4742" s="23"/>
      <c r="E4742" s="13"/>
      <c r="F4742" s="70" t="str">
        <f>CHAR(65+(COUNTIF(C$4738:C4741,"Show")/2))&amp;"."</f>
        <v>C.</v>
      </c>
      <c r="G4742" s="12" t="s">
        <v>3449</v>
      </c>
    </row>
    <row r="4743" spans="2:8" hidden="1" outlineLevel="1">
      <c r="B4743" s="76"/>
      <c r="C4743" s="9" t="str">
        <f>C4742</f>
        <v>Show</v>
      </c>
      <c r="D4743" s="23"/>
      <c r="E4743" s="13"/>
      <c r="F4743" s="70"/>
      <c r="G4743" s="78" t="s">
        <v>121</v>
      </c>
      <c r="H4743" s="75" t="s">
        <v>2336</v>
      </c>
    </row>
    <row r="4744" spans="2:8" hidden="1" outlineLevel="1">
      <c r="B4744" s="76"/>
      <c r="C4744" t="str">
        <f>$D$5967</f>
        <v>Show</v>
      </c>
      <c r="D4744" s="23"/>
      <c r="E4744" s="13"/>
      <c r="F4744" s="70" t="str">
        <f>CHAR(65+(COUNTIF(C$4738:C4743,"Show")/2))&amp;"."</f>
        <v>D.</v>
      </c>
      <c r="G4744" s="12" t="s">
        <v>3493</v>
      </c>
    </row>
    <row r="4745" spans="2:8" ht="30" hidden="1" outlineLevel="1">
      <c r="B4745" s="76"/>
      <c r="C4745" s="9" t="str">
        <f>C4744</f>
        <v>Show</v>
      </c>
      <c r="D4745" s="23"/>
      <c r="E4745" s="13"/>
      <c r="F4745" s="70"/>
      <c r="G4745" s="78" t="s">
        <v>121</v>
      </c>
      <c r="H4745" s="75" t="s">
        <v>2838</v>
      </c>
    </row>
    <row r="4746" spans="2:8" hidden="1" outlineLevel="1">
      <c r="B4746" s="76"/>
      <c r="C4746" t="str">
        <f>$D$5979</f>
        <v>Show</v>
      </c>
      <c r="D4746" s="23"/>
      <c r="E4746" s="13"/>
      <c r="F4746" s="70" t="str">
        <f>CHAR(65+(COUNTIF(C$4738:C4745,"Show")/2))&amp;"."</f>
        <v>E.</v>
      </c>
      <c r="G4746" s="12" t="s">
        <v>3476</v>
      </c>
    </row>
    <row r="4747" spans="2:8" hidden="1" outlineLevel="1">
      <c r="B4747" s="76"/>
      <c r="C4747" s="9" t="str">
        <f>C4746</f>
        <v>Show</v>
      </c>
      <c r="D4747" s="23"/>
      <c r="E4747" s="13"/>
      <c r="F4747" s="70"/>
      <c r="G4747" s="78" t="s">
        <v>121</v>
      </c>
      <c r="H4747" s="75" t="s">
        <v>2885</v>
      </c>
    </row>
    <row r="4748" spans="2:8" hidden="1" outlineLevel="1">
      <c r="B4748" s="76"/>
      <c r="C4748" s="9" t="str">
        <f>C4733</f>
        <v>Show</v>
      </c>
      <c r="D4748" s="23" t="s">
        <v>613</v>
      </c>
      <c r="E4748" s="13"/>
      <c r="G4748" s="13"/>
    </row>
    <row r="4749" spans="2:8" hidden="1" outlineLevel="1">
      <c r="B4749" s="76"/>
      <c r="C4749" s="9" t="str">
        <f>C4733</f>
        <v>Show</v>
      </c>
      <c r="D4749" s="23"/>
      <c r="E4749" s="12" t="str">
        <f>IF(COUNTIF(C4750:C4759,"Show")&gt;0,"2.1 Product Requirements","No EGC Requirements")</f>
        <v>2.1 Product Requirements</v>
      </c>
      <c r="G4749" s="13"/>
    </row>
    <row r="4750" spans="2:8" hidden="1" outlineLevel="1">
      <c r="B4750" s="76"/>
      <c r="C4750" t="str">
        <f>$E$5964</f>
        <v>Show</v>
      </c>
      <c r="D4750" s="23"/>
      <c r="E4750" s="12"/>
      <c r="F4750" s="70" t="s">
        <v>119</v>
      </c>
      <c r="G4750" s="12" t="s">
        <v>3410</v>
      </c>
    </row>
    <row r="4751" spans="2:8" hidden="1" outlineLevel="1">
      <c r="B4751" s="76"/>
      <c r="C4751" s="9" t="str">
        <f>C4750</f>
        <v>Show</v>
      </c>
      <c r="D4751" s="23"/>
      <c r="E4751" s="12"/>
      <c r="G4751" s="30" t="s">
        <v>121</v>
      </c>
      <c r="H4751" s="75" t="s">
        <v>2337</v>
      </c>
    </row>
    <row r="4752" spans="2:8" hidden="1" outlineLevel="1">
      <c r="B4752" s="76"/>
      <c r="C4752" t="str">
        <f>$E$5965</f>
        <v>Show</v>
      </c>
      <c r="D4752" s="23"/>
      <c r="E4752" s="12"/>
      <c r="F4752" s="70" t="str">
        <f>CHAR(65+(COUNTIF(C$4750:C4751,"Show")/2))&amp;"."</f>
        <v>B.</v>
      </c>
      <c r="G4752" s="12" t="s">
        <v>3414</v>
      </c>
    </row>
    <row r="4753" spans="2:8" hidden="1" outlineLevel="1">
      <c r="B4753" s="76"/>
      <c r="C4753" s="9" t="str">
        <f>C4752</f>
        <v>Show</v>
      </c>
      <c r="D4753" s="23"/>
      <c r="E4753" s="12"/>
      <c r="G4753" s="30" t="s">
        <v>121</v>
      </c>
      <c r="H4753" s="75" t="s">
        <v>2351</v>
      </c>
    </row>
    <row r="4754" spans="2:8" hidden="1" outlineLevel="1">
      <c r="B4754" s="76"/>
      <c r="C4754" t="str">
        <f>$E$5966</f>
        <v>Show</v>
      </c>
      <c r="D4754" s="23"/>
      <c r="E4754" s="12"/>
      <c r="F4754" s="70" t="str">
        <f>CHAR(65+(COUNTIF(C$4750:C4753,"Show")/2))&amp;"."</f>
        <v>C.</v>
      </c>
      <c r="G4754" s="12" t="s">
        <v>3449</v>
      </c>
    </row>
    <row r="4755" spans="2:8" hidden="1" outlineLevel="1">
      <c r="B4755" s="76"/>
      <c r="C4755" s="9" t="str">
        <f>C4754</f>
        <v>Show</v>
      </c>
      <c r="D4755" s="23"/>
      <c r="E4755" s="12"/>
      <c r="G4755" s="30" t="s">
        <v>121</v>
      </c>
      <c r="H4755" s="75" t="s">
        <v>2338</v>
      </c>
    </row>
    <row r="4756" spans="2:8" hidden="1" outlineLevel="1">
      <c r="B4756" s="76"/>
      <c r="C4756" t="str">
        <f>$E$5967</f>
        <v>Show</v>
      </c>
      <c r="D4756" s="23"/>
      <c r="E4756" s="12"/>
      <c r="F4756" s="70" t="str">
        <f>CHAR(65+(COUNTIF(C$4750:C4755,"Show")/2))&amp;"."</f>
        <v>D.</v>
      </c>
      <c r="G4756" s="12" t="s">
        <v>3493</v>
      </c>
    </row>
    <row r="4757" spans="2:8" hidden="1" outlineLevel="1">
      <c r="B4757" s="76"/>
      <c r="C4757" s="9" t="str">
        <f>C4756</f>
        <v>Show</v>
      </c>
      <c r="D4757" s="23"/>
      <c r="E4757" s="12"/>
      <c r="G4757" s="30" t="s">
        <v>121</v>
      </c>
      <c r="H4757" s="75" t="s">
        <v>2839</v>
      </c>
    </row>
    <row r="4758" spans="2:8" hidden="1" outlineLevel="1">
      <c r="B4758" s="76"/>
      <c r="C4758" t="str">
        <f>$E$5979</f>
        <v>Show</v>
      </c>
      <c r="D4758" s="23"/>
      <c r="E4758" s="12"/>
      <c r="F4758" s="70" t="str">
        <f>CHAR(65+(COUNTIF(C$4750:C4757,"Show")/2))&amp;"."</f>
        <v>E.</v>
      </c>
      <c r="G4758" s="12" t="s">
        <v>3476</v>
      </c>
    </row>
    <row r="4759" spans="2:8" hidden="1" outlineLevel="1">
      <c r="B4759" s="76"/>
      <c r="C4759" s="9" t="str">
        <f>C4758</f>
        <v>Show</v>
      </c>
      <c r="D4759" s="23"/>
      <c r="E4759" s="12"/>
      <c r="G4759" s="78" t="s">
        <v>121</v>
      </c>
      <c r="H4759" s="75" t="s">
        <v>2886</v>
      </c>
    </row>
    <row r="4760" spans="2:8" hidden="1" outlineLevel="1">
      <c r="B4760" s="76"/>
      <c r="C4760" s="9" t="str">
        <f>C4733</f>
        <v>Show</v>
      </c>
      <c r="D4760" s="23" t="s">
        <v>187</v>
      </c>
      <c r="E4760" s="13"/>
      <c r="G4760" s="13"/>
    </row>
    <row r="4761" spans="2:8" hidden="1" outlineLevel="1">
      <c r="B4761" s="76"/>
      <c r="C4761" s="9" t="str">
        <f>C4733</f>
        <v>Show</v>
      </c>
      <c r="D4761" s="23"/>
      <c r="E4761" s="12" t="str">
        <f>IF(COUNTIF(C4762:C4771,"Show")&gt;0,"3.1 Execution Requirements","No EGC Requirements")</f>
        <v>3.1 Execution Requirements</v>
      </c>
      <c r="G4761" s="13"/>
    </row>
    <row r="4762" spans="2:8" hidden="1" outlineLevel="1">
      <c r="B4762" s="76"/>
      <c r="C4762" t="str">
        <f>$F$5964</f>
        <v>Show</v>
      </c>
      <c r="D4762" s="23"/>
      <c r="E4762" s="13"/>
      <c r="F4762" s="70" t="s">
        <v>119</v>
      </c>
      <c r="G4762" s="12" t="s">
        <v>3410</v>
      </c>
    </row>
    <row r="4763" spans="2:8" ht="30" hidden="1" outlineLevel="1">
      <c r="B4763" s="76"/>
      <c r="C4763" s="9" t="str">
        <f>C4762</f>
        <v>Show</v>
      </c>
      <c r="D4763" s="23"/>
      <c r="E4763" s="13"/>
      <c r="G4763" s="78" t="s">
        <v>121</v>
      </c>
      <c r="H4763" s="75" t="s">
        <v>2339</v>
      </c>
    </row>
    <row r="4764" spans="2:8" hidden="1" outlineLevel="1">
      <c r="B4764" s="76"/>
      <c r="C4764" t="str">
        <f>$F$5965</f>
        <v>Show</v>
      </c>
      <c r="D4764" s="23"/>
      <c r="E4764" s="13"/>
      <c r="F4764" s="70" t="str">
        <f>CHAR(65+(COUNTIF(C$4762:C4763,"Show")/2))&amp;"."</f>
        <v>B.</v>
      </c>
      <c r="G4764" s="12" t="s">
        <v>3414</v>
      </c>
    </row>
    <row r="4765" spans="2:8" ht="30" hidden="1" outlineLevel="1">
      <c r="B4765" s="76"/>
      <c r="C4765" s="9" t="str">
        <f>C4764</f>
        <v>Show</v>
      </c>
      <c r="D4765" s="23"/>
      <c r="E4765" s="13"/>
      <c r="G4765" s="78" t="s">
        <v>121</v>
      </c>
      <c r="H4765" s="75" t="s">
        <v>2352</v>
      </c>
    </row>
    <row r="4766" spans="2:8" hidden="1" outlineLevel="1">
      <c r="B4766" s="76"/>
      <c r="C4766" t="str">
        <f>$F$5966</f>
        <v>Show</v>
      </c>
      <c r="D4766" s="23"/>
      <c r="E4766" s="13"/>
      <c r="F4766" s="70" t="str">
        <f>CHAR(65+(COUNTIF(C$4762:C4765,"Show")/2))&amp;"."</f>
        <v>C.</v>
      </c>
      <c r="G4766" s="12" t="s">
        <v>3449</v>
      </c>
    </row>
    <row r="4767" spans="2:8" hidden="1" outlineLevel="1">
      <c r="B4767" s="76"/>
      <c r="C4767" s="9" t="str">
        <f>C4766</f>
        <v>Show</v>
      </c>
      <c r="D4767" s="23"/>
      <c r="E4767" s="13"/>
      <c r="G4767" s="78" t="s">
        <v>121</v>
      </c>
      <c r="H4767" s="75" t="s">
        <v>2841</v>
      </c>
    </row>
    <row r="4768" spans="2:8" hidden="1" outlineLevel="1">
      <c r="B4768" s="76"/>
      <c r="C4768" t="str">
        <f>$F$5967</f>
        <v>Show</v>
      </c>
      <c r="D4768" s="23"/>
      <c r="E4768" s="13"/>
      <c r="F4768" s="70" t="str">
        <f>CHAR(65+(COUNTIF(C$4762:C4767,"Show")/2))&amp;"."</f>
        <v>D.</v>
      </c>
      <c r="G4768" s="12" t="s">
        <v>3493</v>
      </c>
    </row>
    <row r="4769" spans="2:8" ht="30" hidden="1" outlineLevel="1">
      <c r="B4769" s="76"/>
      <c r="C4769" s="9" t="str">
        <f>C4768</f>
        <v>Show</v>
      </c>
      <c r="D4769" s="23"/>
      <c r="E4769" s="13"/>
      <c r="G4769" s="78" t="s">
        <v>121</v>
      </c>
      <c r="H4769" s="75" t="s">
        <v>2840</v>
      </c>
    </row>
    <row r="4770" spans="2:8" hidden="1" outlineLevel="1">
      <c r="B4770" s="76"/>
      <c r="C4770" t="str">
        <f>$F$5979</f>
        <v>Show</v>
      </c>
      <c r="D4770" s="23"/>
      <c r="E4770" s="13"/>
      <c r="F4770" s="70" t="str">
        <f>CHAR(65+(COUNTIF(C$4762:C4769,"Show")/2))&amp;"."</f>
        <v>E.</v>
      </c>
      <c r="G4770" s="12" t="s">
        <v>3476</v>
      </c>
    </row>
    <row r="4771" spans="2:8" hidden="1" outlineLevel="1">
      <c r="B4771" s="76"/>
      <c r="C4771" s="9" t="str">
        <f>C4770</f>
        <v>Show</v>
      </c>
      <c r="D4771" s="23"/>
      <c r="E4771" s="13"/>
      <c r="G4771" s="78" t="s">
        <v>121</v>
      </c>
      <c r="H4771" s="75" t="s">
        <v>2887</v>
      </c>
    </row>
    <row r="4772" spans="2:8" hidden="1" outlineLevel="1">
      <c r="B4772" s="76"/>
      <c r="C4772" s="9" t="str">
        <f>C4733</f>
        <v>Show</v>
      </c>
    </row>
    <row r="4773" spans="2:8" collapsed="1">
      <c r="B4773" s="23"/>
      <c r="C4773" s="2" t="str">
        <f>C4774</f>
        <v>Show</v>
      </c>
      <c r="D4773" s="60" t="s">
        <v>324</v>
      </c>
      <c r="E4773" s="55"/>
      <c r="F4773" s="56" t="s">
        <v>325</v>
      </c>
      <c r="G4773" s="53"/>
      <c r="H4773" s="54"/>
    </row>
    <row r="4774" spans="2:8" hidden="1" outlineLevel="1">
      <c r="B4774" s="76"/>
      <c r="C4774" s="2" t="str">
        <f>IF((COUNTIF(C4778:C4788,"Show")+COUNTIF(C4791:C4800,"Show")+COUNTIF(C4803:C4812,"Show"))&gt;0,"Show","Hide")</f>
        <v>Show</v>
      </c>
      <c r="D4774" s="23" t="s">
        <v>117</v>
      </c>
      <c r="E4774" s="13"/>
      <c r="G4774" s="13"/>
    </row>
    <row r="4775" spans="2:8" hidden="1" outlineLevel="1">
      <c r="B4775" s="76"/>
      <c r="C4775" s="9" t="str">
        <f>C4774</f>
        <v>Show</v>
      </c>
      <c r="D4775" s="23"/>
      <c r="E4775" s="13">
        <v>1.1000000000000001</v>
      </c>
      <c r="F4775" s="11" t="s">
        <v>118</v>
      </c>
      <c r="G4775" s="13"/>
    </row>
    <row r="4776" spans="2:8" hidden="1" outlineLevel="1">
      <c r="B4776" s="76"/>
      <c r="C4776" s="9" t="str">
        <f>C4775</f>
        <v>Show</v>
      </c>
      <c r="D4776" s="23"/>
      <c r="E4776" s="13"/>
      <c r="F4776" s="70" t="s">
        <v>119</v>
      </c>
      <c r="G4776" s="18" t="s">
        <v>677</v>
      </c>
    </row>
    <row r="4777" spans="2:8" hidden="1" outlineLevel="1">
      <c r="B4777" s="76"/>
      <c r="C4777" s="9" t="str">
        <f>C4776</f>
        <v>Show</v>
      </c>
      <c r="D4777" s="23"/>
      <c r="E4777" s="13"/>
      <c r="F4777" s="70"/>
      <c r="G4777" s="78" t="s">
        <v>121</v>
      </c>
      <c r="H4777" s="79" t="s">
        <v>2301</v>
      </c>
    </row>
    <row r="4778" spans="2:8" hidden="1" outlineLevel="1">
      <c r="B4778" s="76"/>
      <c r="C4778" s="9" t="str">
        <f>IF(COUNTIF(C4779:C4788,"Show")&gt;0,"Show","Hide")</f>
        <v>Show</v>
      </c>
      <c r="D4778" s="23"/>
      <c r="E4778" s="13">
        <v>1.2</v>
      </c>
      <c r="F4778" s="71" t="s">
        <v>131</v>
      </c>
      <c r="G4778" s="78"/>
    </row>
    <row r="4779" spans="2:8" hidden="1" outlineLevel="1">
      <c r="B4779" s="76"/>
      <c r="C4779" t="str">
        <f>$D$5964</f>
        <v>Show</v>
      </c>
      <c r="D4779" s="23"/>
      <c r="E4779" s="13"/>
      <c r="F4779" s="70" t="s">
        <v>119</v>
      </c>
      <c r="G4779" s="12" t="s">
        <v>3410</v>
      </c>
    </row>
    <row r="4780" spans="2:8" hidden="1" outlineLevel="1">
      <c r="B4780" s="76"/>
      <c r="C4780" s="9" t="str">
        <f>C4779</f>
        <v>Show</v>
      </c>
      <c r="D4780" s="23"/>
      <c r="E4780" s="13"/>
      <c r="F4780" s="70"/>
      <c r="G4780" s="78" t="s">
        <v>121</v>
      </c>
      <c r="H4780" s="75" t="s">
        <v>2335</v>
      </c>
    </row>
    <row r="4781" spans="2:8" hidden="1" outlineLevel="1">
      <c r="B4781" s="76"/>
      <c r="C4781" t="str">
        <f>$D$5965</f>
        <v>Show</v>
      </c>
      <c r="D4781" s="23"/>
      <c r="E4781" s="13"/>
      <c r="F4781" s="70" t="str">
        <f>CHAR(65+(COUNTIF(C$4779:C4780,"Show")/2))&amp;"."</f>
        <v>B.</v>
      </c>
      <c r="G4781" s="12" t="s">
        <v>3414</v>
      </c>
    </row>
    <row r="4782" spans="2:8" hidden="1" outlineLevel="1">
      <c r="B4782" s="76"/>
      <c r="C4782" s="9" t="str">
        <f>C4781</f>
        <v>Show</v>
      </c>
      <c r="D4782" s="23"/>
      <c r="E4782" s="13"/>
      <c r="F4782" s="70"/>
      <c r="G4782" s="78" t="s">
        <v>121</v>
      </c>
      <c r="H4782" s="75" t="s">
        <v>2350</v>
      </c>
    </row>
    <row r="4783" spans="2:8" hidden="1" outlineLevel="1">
      <c r="B4783" s="76"/>
      <c r="C4783" t="str">
        <f>$D$5966</f>
        <v>Show</v>
      </c>
      <c r="D4783" s="23"/>
      <c r="E4783" s="13"/>
      <c r="F4783" s="70" t="str">
        <f>CHAR(65+(COUNTIF(C$4779:C4782,"Show")/2))&amp;"."</f>
        <v>C.</v>
      </c>
      <c r="G4783" s="12" t="s">
        <v>3449</v>
      </c>
    </row>
    <row r="4784" spans="2:8" hidden="1" outlineLevel="1">
      <c r="B4784" s="76"/>
      <c r="C4784" s="9" t="str">
        <f>C4783</f>
        <v>Show</v>
      </c>
      <c r="D4784" s="23"/>
      <c r="E4784" s="13"/>
      <c r="F4784" s="70"/>
      <c r="G4784" s="78" t="s">
        <v>121</v>
      </c>
      <c r="H4784" s="75" t="s">
        <v>2336</v>
      </c>
    </row>
    <row r="4785" spans="2:8" hidden="1" outlineLevel="1">
      <c r="B4785" s="76"/>
      <c r="C4785" t="str">
        <f>$D$5967</f>
        <v>Show</v>
      </c>
      <c r="D4785" s="23"/>
      <c r="E4785" s="13"/>
      <c r="F4785" s="70" t="str">
        <f>CHAR(65+(COUNTIF(C$4779:C4784,"Show")/2))&amp;"."</f>
        <v>D.</v>
      </c>
      <c r="G4785" s="12" t="s">
        <v>3493</v>
      </c>
    </row>
    <row r="4786" spans="2:8" ht="30" hidden="1" outlineLevel="1">
      <c r="B4786" s="76"/>
      <c r="C4786" s="9" t="str">
        <f>C4785</f>
        <v>Show</v>
      </c>
      <c r="D4786" s="23"/>
      <c r="E4786" s="13"/>
      <c r="F4786" s="70"/>
      <c r="G4786" s="78" t="s">
        <v>121</v>
      </c>
      <c r="H4786" s="75" t="s">
        <v>2838</v>
      </c>
    </row>
    <row r="4787" spans="2:8" hidden="1" outlineLevel="1">
      <c r="B4787" s="76"/>
      <c r="C4787" t="str">
        <f>$D$5979</f>
        <v>Show</v>
      </c>
      <c r="D4787" s="23"/>
      <c r="E4787" s="13"/>
      <c r="F4787" s="70" t="str">
        <f>CHAR(65+(COUNTIF(C$4779:C4786,"Show")/2))&amp;"."</f>
        <v>E.</v>
      </c>
      <c r="G4787" s="12" t="s">
        <v>3476</v>
      </c>
    </row>
    <row r="4788" spans="2:8" hidden="1" outlineLevel="1">
      <c r="B4788" s="76"/>
      <c r="C4788" s="9" t="str">
        <f>C4787</f>
        <v>Show</v>
      </c>
      <c r="D4788" s="23"/>
      <c r="E4788" s="13"/>
      <c r="F4788" s="70"/>
      <c r="G4788" s="78" t="s">
        <v>121</v>
      </c>
      <c r="H4788" s="75" t="s">
        <v>2885</v>
      </c>
    </row>
    <row r="4789" spans="2:8" hidden="1" outlineLevel="1">
      <c r="B4789" s="76"/>
      <c r="C4789" s="9" t="str">
        <f>C4774</f>
        <v>Show</v>
      </c>
      <c r="D4789" s="23" t="s">
        <v>613</v>
      </c>
      <c r="E4789" s="13"/>
      <c r="G4789" s="13"/>
    </row>
    <row r="4790" spans="2:8" hidden="1" outlineLevel="1">
      <c r="B4790" s="76"/>
      <c r="C4790" s="9" t="str">
        <f>C4774</f>
        <v>Show</v>
      </c>
      <c r="D4790" s="23"/>
      <c r="E4790" s="12" t="str">
        <f>IF(COUNTIF(C4791:C4800,"Show")&gt;0,"2.1 Product Requirements","No EGC Requirements")</f>
        <v>2.1 Product Requirements</v>
      </c>
      <c r="G4790" s="13"/>
    </row>
    <row r="4791" spans="2:8" hidden="1" outlineLevel="1">
      <c r="B4791" s="76"/>
      <c r="C4791" t="str">
        <f>$E$5964</f>
        <v>Show</v>
      </c>
      <c r="D4791" s="23"/>
      <c r="E4791" s="12"/>
      <c r="F4791" s="70" t="s">
        <v>119</v>
      </c>
      <c r="G4791" s="12" t="s">
        <v>3410</v>
      </c>
    </row>
    <row r="4792" spans="2:8" hidden="1" outlineLevel="1">
      <c r="B4792" s="76"/>
      <c r="C4792" s="9" t="str">
        <f>C4791</f>
        <v>Show</v>
      </c>
      <c r="D4792" s="23"/>
      <c r="E4792" s="12"/>
      <c r="G4792" s="30" t="s">
        <v>121</v>
      </c>
      <c r="H4792" s="75" t="s">
        <v>2337</v>
      </c>
    </row>
    <row r="4793" spans="2:8" hidden="1" outlineLevel="1">
      <c r="B4793" s="76"/>
      <c r="C4793" t="str">
        <f>$E$5965</f>
        <v>Show</v>
      </c>
      <c r="D4793" s="23"/>
      <c r="E4793" s="12"/>
      <c r="F4793" s="70" t="str">
        <f>CHAR(65+(COUNTIF(C$4791:C4792,"Show")/2))&amp;"."</f>
        <v>B.</v>
      </c>
      <c r="G4793" s="12" t="s">
        <v>3414</v>
      </c>
    </row>
    <row r="4794" spans="2:8" hidden="1" outlineLevel="1">
      <c r="B4794" s="76"/>
      <c r="C4794" s="9" t="str">
        <f>C4793</f>
        <v>Show</v>
      </c>
      <c r="D4794" s="23"/>
      <c r="E4794" s="12"/>
      <c r="G4794" s="30" t="s">
        <v>121</v>
      </c>
      <c r="H4794" s="75" t="s">
        <v>2351</v>
      </c>
    </row>
    <row r="4795" spans="2:8" hidden="1" outlineLevel="1">
      <c r="B4795" s="76"/>
      <c r="C4795" t="str">
        <f>$E$5966</f>
        <v>Show</v>
      </c>
      <c r="D4795" s="23"/>
      <c r="E4795" s="12"/>
      <c r="F4795" s="70" t="str">
        <f>CHAR(65+(COUNTIF(C$4791:C4794,"Show")/2))&amp;"."</f>
        <v>C.</v>
      </c>
      <c r="G4795" s="12" t="s">
        <v>3449</v>
      </c>
    </row>
    <row r="4796" spans="2:8" hidden="1" outlineLevel="1">
      <c r="B4796" s="76"/>
      <c r="C4796" s="9" t="str">
        <f>C4795</f>
        <v>Show</v>
      </c>
      <c r="D4796" s="23"/>
      <c r="E4796" s="12"/>
      <c r="G4796" s="30" t="s">
        <v>121</v>
      </c>
      <c r="H4796" s="75" t="s">
        <v>2338</v>
      </c>
    </row>
    <row r="4797" spans="2:8" hidden="1" outlineLevel="1">
      <c r="B4797" s="76"/>
      <c r="C4797" t="str">
        <f>$E$5967</f>
        <v>Show</v>
      </c>
      <c r="D4797" s="23"/>
      <c r="E4797" s="12"/>
      <c r="F4797" s="70" t="str">
        <f>CHAR(65+(COUNTIF(C$4791:C4796,"Show")/2))&amp;"."</f>
        <v>D.</v>
      </c>
      <c r="G4797" s="12" t="s">
        <v>3493</v>
      </c>
    </row>
    <row r="4798" spans="2:8" hidden="1" outlineLevel="1">
      <c r="B4798" s="76"/>
      <c r="C4798" s="9" t="str">
        <f>C4797</f>
        <v>Show</v>
      </c>
      <c r="D4798" s="23"/>
      <c r="E4798" s="12"/>
      <c r="G4798" s="30" t="s">
        <v>121</v>
      </c>
      <c r="H4798" s="75" t="s">
        <v>2839</v>
      </c>
    </row>
    <row r="4799" spans="2:8" hidden="1" outlineLevel="1">
      <c r="B4799" s="76"/>
      <c r="C4799" t="str">
        <f>$E$5979</f>
        <v>Show</v>
      </c>
      <c r="D4799" s="23"/>
      <c r="E4799" s="12"/>
      <c r="F4799" s="70" t="str">
        <f>CHAR(65+(COUNTIF(C$4791:C4798,"Show")/2))&amp;"."</f>
        <v>E.</v>
      </c>
      <c r="G4799" s="12" t="s">
        <v>3476</v>
      </c>
    </row>
    <row r="4800" spans="2:8" hidden="1" outlineLevel="1">
      <c r="B4800" s="76"/>
      <c r="C4800" s="9" t="str">
        <f>C4799</f>
        <v>Show</v>
      </c>
      <c r="D4800" s="23"/>
      <c r="E4800" s="12"/>
      <c r="G4800" s="78" t="s">
        <v>121</v>
      </c>
      <c r="H4800" s="75" t="s">
        <v>2886</v>
      </c>
    </row>
    <row r="4801" spans="2:8" hidden="1" outlineLevel="1">
      <c r="B4801" s="76"/>
      <c r="C4801" s="9" t="str">
        <f>C4774</f>
        <v>Show</v>
      </c>
      <c r="D4801" s="23" t="s">
        <v>187</v>
      </c>
      <c r="E4801" s="13"/>
      <c r="G4801" s="13"/>
    </row>
    <row r="4802" spans="2:8" hidden="1" outlineLevel="1">
      <c r="B4802" s="76"/>
      <c r="C4802" s="9" t="str">
        <f>C4774</f>
        <v>Show</v>
      </c>
      <c r="D4802" s="23"/>
      <c r="E4802" s="12" t="str">
        <f>IF(COUNTIF(C4803:C4812,"Show")&gt;0,"3.1 Execution Requirements","No EGC Requirements")</f>
        <v>3.1 Execution Requirements</v>
      </c>
      <c r="G4802" s="13"/>
    </row>
    <row r="4803" spans="2:8" hidden="1" outlineLevel="1">
      <c r="B4803" s="76"/>
      <c r="C4803" t="str">
        <f>$F$5964</f>
        <v>Show</v>
      </c>
      <c r="D4803" s="23"/>
      <c r="E4803" s="13"/>
      <c r="F4803" s="70" t="s">
        <v>119</v>
      </c>
      <c r="G4803" s="12" t="s">
        <v>3410</v>
      </c>
    </row>
    <row r="4804" spans="2:8" ht="30" hidden="1" outlineLevel="1">
      <c r="B4804" s="76"/>
      <c r="C4804" s="9" t="str">
        <f>C4803</f>
        <v>Show</v>
      </c>
      <c r="D4804" s="23"/>
      <c r="E4804" s="13"/>
      <c r="G4804" s="78" t="s">
        <v>121</v>
      </c>
      <c r="H4804" s="75" t="s">
        <v>2339</v>
      </c>
    </row>
    <row r="4805" spans="2:8" hidden="1" outlineLevel="1">
      <c r="B4805" s="76"/>
      <c r="C4805" t="str">
        <f>$F$5965</f>
        <v>Show</v>
      </c>
      <c r="D4805" s="23"/>
      <c r="E4805" s="13"/>
      <c r="F4805" s="70" t="str">
        <f>CHAR(65+(COUNTIF(C$4803:C4804,"Show")/2))&amp;"."</f>
        <v>B.</v>
      </c>
      <c r="G4805" s="12" t="s">
        <v>3414</v>
      </c>
    </row>
    <row r="4806" spans="2:8" ht="30" hidden="1" outlineLevel="1">
      <c r="B4806" s="76"/>
      <c r="C4806" s="9" t="str">
        <f>C4805</f>
        <v>Show</v>
      </c>
      <c r="D4806" s="23"/>
      <c r="E4806" s="13"/>
      <c r="G4806" s="78" t="s">
        <v>121</v>
      </c>
      <c r="H4806" s="75" t="s">
        <v>2352</v>
      </c>
    </row>
    <row r="4807" spans="2:8" hidden="1" outlineLevel="1">
      <c r="B4807" s="76"/>
      <c r="C4807" t="str">
        <f>$F$5966</f>
        <v>Show</v>
      </c>
      <c r="D4807" s="23"/>
      <c r="E4807" s="13"/>
      <c r="F4807" s="70" t="str">
        <f>CHAR(65+(COUNTIF(C$4803:C4806,"Show")/2))&amp;"."</f>
        <v>C.</v>
      </c>
      <c r="G4807" s="12" t="s">
        <v>3449</v>
      </c>
    </row>
    <row r="4808" spans="2:8" hidden="1" outlineLevel="1">
      <c r="B4808" s="76"/>
      <c r="C4808" s="9" t="str">
        <f>C4807</f>
        <v>Show</v>
      </c>
      <c r="D4808" s="23"/>
      <c r="E4808" s="13"/>
      <c r="G4808" s="78" t="s">
        <v>121</v>
      </c>
      <c r="H4808" s="75" t="s">
        <v>2841</v>
      </c>
    </row>
    <row r="4809" spans="2:8" hidden="1" outlineLevel="1">
      <c r="B4809" s="76"/>
      <c r="C4809" t="str">
        <f>$F$5967</f>
        <v>Show</v>
      </c>
      <c r="D4809" s="23"/>
      <c r="E4809" s="13"/>
      <c r="F4809" s="70" t="str">
        <f>CHAR(65+(COUNTIF(C$4803:C4808,"Show")/2))&amp;"."</f>
        <v>D.</v>
      </c>
      <c r="G4809" s="12" t="s">
        <v>3493</v>
      </c>
    </row>
    <row r="4810" spans="2:8" ht="30" hidden="1" outlineLevel="1">
      <c r="B4810" s="76"/>
      <c r="C4810" s="9" t="str">
        <f>C4809</f>
        <v>Show</v>
      </c>
      <c r="D4810" s="23"/>
      <c r="E4810" s="13"/>
      <c r="G4810" s="78" t="s">
        <v>121</v>
      </c>
      <c r="H4810" s="75" t="s">
        <v>2840</v>
      </c>
    </row>
    <row r="4811" spans="2:8" hidden="1" outlineLevel="1">
      <c r="B4811" s="76"/>
      <c r="C4811" t="str">
        <f>$F$5979</f>
        <v>Show</v>
      </c>
      <c r="D4811" s="23"/>
      <c r="E4811" s="13"/>
      <c r="F4811" s="70" t="str">
        <f>CHAR(65+(COUNTIF(C$4803:C4810,"Show")/2))&amp;"."</f>
        <v>E.</v>
      </c>
      <c r="G4811" s="12" t="s">
        <v>3476</v>
      </c>
    </row>
    <row r="4812" spans="2:8" hidden="1" outlineLevel="1">
      <c r="B4812" s="76"/>
      <c r="C4812" s="9" t="str">
        <f>C4811</f>
        <v>Show</v>
      </c>
      <c r="D4812" s="23"/>
      <c r="E4812" s="13"/>
      <c r="G4812" s="78" t="s">
        <v>121</v>
      </c>
      <c r="H4812" s="75" t="s">
        <v>2887</v>
      </c>
    </row>
    <row r="4813" spans="2:8" hidden="1" outlineLevel="1">
      <c r="B4813" s="76"/>
      <c r="C4813" s="9" t="str">
        <f>C4774</f>
        <v>Show</v>
      </c>
    </row>
    <row r="4814" spans="2:8" collapsed="1">
      <c r="B4814" s="23"/>
      <c r="C4814" s="2" t="str">
        <f>C4815</f>
        <v>Show</v>
      </c>
      <c r="D4814" s="55" t="s">
        <v>326</v>
      </c>
      <c r="E4814" s="55"/>
      <c r="F4814" s="57" t="s">
        <v>327</v>
      </c>
      <c r="G4814" s="53"/>
      <c r="H4814" s="54"/>
    </row>
    <row r="4815" spans="2:8" hidden="1" outlineLevel="1">
      <c r="B4815" s="76"/>
      <c r="C4815" s="2" t="str">
        <f>IF((COUNTIF(C4819:C4825,"Show")+COUNTIF(C4828:C4833,"Show")+COUNTIF(C4836:C4841,"Show"))&gt;0,"Show","Hide")</f>
        <v>Show</v>
      </c>
      <c r="D4815" s="23" t="s">
        <v>117</v>
      </c>
      <c r="E4815" s="13"/>
      <c r="G4815" s="13"/>
    </row>
    <row r="4816" spans="2:8" hidden="1" outlineLevel="1">
      <c r="B4816" s="76"/>
      <c r="C4816" s="9" t="str">
        <f>C4815</f>
        <v>Show</v>
      </c>
      <c r="D4816" s="23"/>
      <c r="E4816" s="13">
        <v>1.1000000000000001</v>
      </c>
      <c r="F4816" s="11" t="s">
        <v>118</v>
      </c>
      <c r="G4816" s="13"/>
    </row>
    <row r="4817" spans="2:8" hidden="1" outlineLevel="1">
      <c r="B4817" s="76"/>
      <c r="C4817" s="9" t="str">
        <f>C4816</f>
        <v>Show</v>
      </c>
      <c r="D4817" s="23"/>
      <c r="E4817" s="13"/>
      <c r="F4817" s="70" t="s">
        <v>119</v>
      </c>
      <c r="G4817" s="18" t="s">
        <v>677</v>
      </c>
    </row>
    <row r="4818" spans="2:8" hidden="1" outlineLevel="1">
      <c r="B4818" s="76"/>
      <c r="C4818" s="9" t="str">
        <f>C4817</f>
        <v>Show</v>
      </c>
      <c r="D4818" s="23"/>
      <c r="E4818" s="13"/>
      <c r="F4818" s="70"/>
      <c r="G4818" s="78" t="s">
        <v>121</v>
      </c>
      <c r="H4818" s="79" t="s">
        <v>2301</v>
      </c>
    </row>
    <row r="4819" spans="2:8" hidden="1" outlineLevel="1">
      <c r="B4819" s="76"/>
      <c r="C4819" s="9" t="str">
        <f>IF(COUNTIF(C4820:C4825,"Show")&gt;0,"Show","Hide")</f>
        <v>Show</v>
      </c>
      <c r="D4819" s="23"/>
      <c r="E4819" s="13">
        <v>1.2</v>
      </c>
      <c r="F4819" s="71" t="s">
        <v>131</v>
      </c>
      <c r="G4819" s="78"/>
    </row>
    <row r="4820" spans="2:8" hidden="1" outlineLevel="1">
      <c r="B4820" s="76"/>
      <c r="C4820" t="str">
        <f>$D$5953</f>
        <v>Show</v>
      </c>
      <c r="D4820" s="23"/>
      <c r="E4820" s="13"/>
      <c r="F4820" s="70" t="s">
        <v>119</v>
      </c>
      <c r="G4820" s="12" t="s">
        <v>3438</v>
      </c>
    </row>
    <row r="4821" spans="2:8" hidden="1" outlineLevel="1">
      <c r="B4821" s="76"/>
      <c r="C4821" s="9" t="str">
        <f>C4820</f>
        <v>Show</v>
      </c>
      <c r="D4821" s="23"/>
      <c r="E4821" s="13"/>
      <c r="F4821" s="70"/>
      <c r="G4821" s="78" t="s">
        <v>121</v>
      </c>
      <c r="H4821" s="75" t="s">
        <v>2546</v>
      </c>
    </row>
    <row r="4822" spans="2:8" hidden="1" outlineLevel="1">
      <c r="B4822" s="76"/>
      <c r="C4822" t="str">
        <f>$D$5966</f>
        <v>Show</v>
      </c>
      <c r="D4822" s="23"/>
      <c r="E4822" s="13"/>
      <c r="F4822" s="70" t="str">
        <f>CHAR(65+(COUNTIF(C$4820:C4821,"Show")/2))&amp;"."</f>
        <v>B.</v>
      </c>
      <c r="G4822" s="12" t="s">
        <v>3449</v>
      </c>
    </row>
    <row r="4823" spans="2:8" hidden="1" outlineLevel="1">
      <c r="B4823" s="76"/>
      <c r="C4823" s="9" t="str">
        <f>C4822</f>
        <v>Show</v>
      </c>
      <c r="D4823" s="23"/>
      <c r="E4823" s="13"/>
      <c r="F4823" s="70"/>
      <c r="G4823" s="78" t="s">
        <v>121</v>
      </c>
      <c r="H4823" s="75" t="s">
        <v>2336</v>
      </c>
    </row>
    <row r="4824" spans="2:8" hidden="1" outlineLevel="1">
      <c r="B4824" s="76"/>
      <c r="C4824" t="str">
        <f>$D$5967</f>
        <v>Show</v>
      </c>
      <c r="D4824" s="23"/>
      <c r="E4824" s="13"/>
      <c r="F4824" s="70" t="str">
        <f>CHAR(65+(COUNTIF(C$4820:C4823,"Show")/2))&amp;"."</f>
        <v>C.</v>
      </c>
      <c r="G4824" s="12" t="s">
        <v>3493</v>
      </c>
    </row>
    <row r="4825" spans="2:8" ht="30" hidden="1" outlineLevel="1">
      <c r="B4825" s="76"/>
      <c r="C4825" s="9" t="str">
        <f>C4824</f>
        <v>Show</v>
      </c>
      <c r="D4825" s="23"/>
      <c r="E4825" s="13"/>
      <c r="F4825" s="70"/>
      <c r="G4825" s="78" t="s">
        <v>121</v>
      </c>
      <c r="H4825" s="75" t="s">
        <v>2838</v>
      </c>
    </row>
    <row r="4826" spans="2:8" hidden="1" outlineLevel="1">
      <c r="B4826" s="76"/>
      <c r="C4826" s="9" t="str">
        <f>C4815</f>
        <v>Show</v>
      </c>
      <c r="D4826" s="23" t="s">
        <v>613</v>
      </c>
      <c r="E4826" s="13"/>
      <c r="G4826" s="13"/>
    </row>
    <row r="4827" spans="2:8" hidden="1" outlineLevel="1">
      <c r="B4827" s="76"/>
      <c r="C4827" s="9" t="str">
        <f>C4815</f>
        <v>Show</v>
      </c>
      <c r="D4827" s="23"/>
      <c r="E4827" s="12" t="str">
        <f>IF(COUNTIF(C4828:C4833,"Show")&gt;0,"2.1 Product Requirements","No EGC Requirements")</f>
        <v>2.1 Product Requirements</v>
      </c>
      <c r="G4827" s="13"/>
    </row>
    <row r="4828" spans="2:8" hidden="1" outlineLevel="1">
      <c r="B4828" s="76"/>
      <c r="C4828" t="str">
        <f>$E$5953</f>
        <v>Show</v>
      </c>
      <c r="D4828" s="23"/>
      <c r="E4828" s="12"/>
      <c r="F4828" s="70" t="s">
        <v>119</v>
      </c>
      <c r="G4828" s="12" t="s">
        <v>3438</v>
      </c>
    </row>
    <row r="4829" spans="2:8" hidden="1" outlineLevel="1">
      <c r="B4829" s="76"/>
      <c r="C4829" s="9" t="str">
        <f>C4828</f>
        <v>Show</v>
      </c>
      <c r="D4829" s="23"/>
      <c r="E4829" s="12"/>
      <c r="G4829" s="30" t="s">
        <v>121</v>
      </c>
      <c r="H4829" s="75" t="s">
        <v>2548</v>
      </c>
    </row>
    <row r="4830" spans="2:8" hidden="1" outlineLevel="1">
      <c r="B4830" s="76"/>
      <c r="C4830" t="str">
        <f>$E$5966</f>
        <v>Show</v>
      </c>
      <c r="D4830" s="23"/>
      <c r="E4830" s="12"/>
      <c r="F4830" s="70" t="str">
        <f>CHAR(65+(COUNTIF(C$4828:C4829,"Show")/2))&amp;"."</f>
        <v>B.</v>
      </c>
      <c r="G4830" s="12" t="s">
        <v>3449</v>
      </c>
    </row>
    <row r="4831" spans="2:8" hidden="1" outlineLevel="1">
      <c r="B4831" s="76"/>
      <c r="C4831" s="9" t="str">
        <f>C4830</f>
        <v>Show</v>
      </c>
      <c r="D4831" s="23"/>
      <c r="E4831" s="12"/>
      <c r="G4831" s="30" t="s">
        <v>121</v>
      </c>
      <c r="H4831" s="75" t="s">
        <v>2338</v>
      </c>
    </row>
    <row r="4832" spans="2:8" hidden="1" outlineLevel="1">
      <c r="B4832" s="76"/>
      <c r="C4832" t="str">
        <f>$E$5967</f>
        <v>Show</v>
      </c>
      <c r="D4832" s="23"/>
      <c r="E4832" s="12"/>
      <c r="F4832" s="70" t="str">
        <f>CHAR(65+(COUNTIF(C$4828:C4831,"Show")/2))&amp;"."</f>
        <v>C.</v>
      </c>
      <c r="G4832" s="12" t="s">
        <v>3493</v>
      </c>
    </row>
    <row r="4833" spans="2:8" hidden="1" outlineLevel="1">
      <c r="B4833" s="76"/>
      <c r="C4833" s="9" t="str">
        <f>C4832</f>
        <v>Show</v>
      </c>
      <c r="D4833" s="23"/>
      <c r="E4833" s="12"/>
      <c r="G4833" s="30" t="s">
        <v>121</v>
      </c>
      <c r="H4833" s="75" t="s">
        <v>2839</v>
      </c>
    </row>
    <row r="4834" spans="2:8" hidden="1" outlineLevel="1">
      <c r="B4834" s="76"/>
      <c r="C4834" s="9" t="str">
        <f>C4815</f>
        <v>Show</v>
      </c>
      <c r="D4834" s="23" t="s">
        <v>187</v>
      </c>
      <c r="E4834" s="13"/>
      <c r="G4834" s="13"/>
    </row>
    <row r="4835" spans="2:8" hidden="1" outlineLevel="1">
      <c r="B4835" s="76"/>
      <c r="C4835" s="9" t="str">
        <f>C4815</f>
        <v>Show</v>
      </c>
      <c r="D4835" s="23"/>
      <c r="E4835" s="12" t="str">
        <f>IF(COUNTIF(C4836:C4841,"Show")&gt;0,"3.1 Execution Requirements","No EGC Requirements")</f>
        <v>3.1 Execution Requirements</v>
      </c>
      <c r="G4835" s="13"/>
    </row>
    <row r="4836" spans="2:8" hidden="1" outlineLevel="1">
      <c r="B4836" s="76"/>
      <c r="C4836" t="str">
        <f>$F$5953</f>
        <v>Show</v>
      </c>
      <c r="D4836" s="23"/>
      <c r="E4836" s="13"/>
      <c r="F4836" s="70" t="s">
        <v>119</v>
      </c>
      <c r="G4836" s="12" t="s">
        <v>3438</v>
      </c>
    </row>
    <row r="4837" spans="2:8" hidden="1" outlineLevel="1">
      <c r="B4837" s="76"/>
      <c r="C4837" s="9" t="str">
        <f>C4836</f>
        <v>Show</v>
      </c>
      <c r="D4837" s="23"/>
      <c r="E4837" s="13"/>
      <c r="G4837" s="78" t="s">
        <v>121</v>
      </c>
      <c r="H4837" s="75" t="s">
        <v>2550</v>
      </c>
    </row>
    <row r="4838" spans="2:8" hidden="1" outlineLevel="1">
      <c r="B4838" s="76"/>
      <c r="C4838" t="str">
        <f>$F$5966</f>
        <v>Show</v>
      </c>
      <c r="D4838" s="23"/>
      <c r="E4838" s="13"/>
      <c r="F4838" s="70" t="str">
        <f>CHAR(65+(COUNTIF(C$4836:C4837,"Show")/2))&amp;"."</f>
        <v>B.</v>
      </c>
      <c r="G4838" s="12" t="s">
        <v>3449</v>
      </c>
    </row>
    <row r="4839" spans="2:8" hidden="1" outlineLevel="1">
      <c r="B4839" s="76"/>
      <c r="C4839" s="9" t="str">
        <f>C4838</f>
        <v>Show</v>
      </c>
      <c r="D4839" s="23"/>
      <c r="E4839" s="13"/>
      <c r="G4839" s="78" t="s">
        <v>121</v>
      </c>
      <c r="H4839" s="75" t="s">
        <v>2841</v>
      </c>
    </row>
    <row r="4840" spans="2:8" hidden="1" outlineLevel="1">
      <c r="B4840" s="76"/>
      <c r="C4840" t="str">
        <f>$F$5967</f>
        <v>Show</v>
      </c>
      <c r="D4840" s="23"/>
      <c r="E4840" s="13"/>
      <c r="F4840" s="70" t="str">
        <f>CHAR(65+(COUNTIF(C$4836:C4839,"Show")/2))&amp;"."</f>
        <v>C.</v>
      </c>
      <c r="G4840" s="12" t="s">
        <v>3493</v>
      </c>
    </row>
    <row r="4841" spans="2:8" ht="30" hidden="1" outlineLevel="1">
      <c r="B4841" s="76"/>
      <c r="C4841" s="9" t="str">
        <f>C4840</f>
        <v>Show</v>
      </c>
      <c r="D4841" s="23"/>
      <c r="E4841" s="13"/>
      <c r="G4841" s="78" t="s">
        <v>121</v>
      </c>
      <c r="H4841" s="75" t="s">
        <v>2840</v>
      </c>
    </row>
    <row r="4842" spans="2:8" hidden="1" outlineLevel="1">
      <c r="B4842" s="76"/>
      <c r="C4842" s="9" t="str">
        <f>C4815</f>
        <v>Show</v>
      </c>
    </row>
    <row r="4843" spans="2:8" collapsed="1">
      <c r="B4843" s="23"/>
      <c r="C4843" s="2" t="str">
        <f>C4844</f>
        <v>Show</v>
      </c>
      <c r="D4843" s="55" t="s">
        <v>1716</v>
      </c>
      <c r="E4843" s="55"/>
      <c r="F4843" s="57" t="s">
        <v>328</v>
      </c>
      <c r="G4843" s="53"/>
      <c r="H4843" s="54"/>
    </row>
    <row r="4844" spans="2:8" hidden="1" outlineLevel="1">
      <c r="B4844" s="76"/>
      <c r="C4844" s="2" t="str">
        <f>IF((COUNTIF(C4848:C4850,"Show")+COUNTIF(C4853:C4854,"Show")+COUNTIF(C4857:C4858,"Show"))&gt;0,"Show","Hide")</f>
        <v>Show</v>
      </c>
      <c r="D4844" s="23" t="s">
        <v>117</v>
      </c>
      <c r="E4844" s="13"/>
      <c r="G4844" s="13"/>
    </row>
    <row r="4845" spans="2:8" hidden="1" outlineLevel="1">
      <c r="B4845" s="76"/>
      <c r="C4845" s="9" t="str">
        <f>C4844</f>
        <v>Show</v>
      </c>
      <c r="D4845" s="23"/>
      <c r="E4845" s="13">
        <v>1.1000000000000001</v>
      </c>
      <c r="F4845" s="11" t="s">
        <v>118</v>
      </c>
      <c r="G4845" s="13"/>
    </row>
    <row r="4846" spans="2:8" hidden="1" outlineLevel="1">
      <c r="B4846" s="76"/>
      <c r="C4846" s="9" t="str">
        <f>C4845</f>
        <v>Show</v>
      </c>
      <c r="D4846" s="23"/>
      <c r="E4846" s="13"/>
      <c r="F4846" s="70" t="s">
        <v>119</v>
      </c>
      <c r="G4846" s="18" t="s">
        <v>677</v>
      </c>
    </row>
    <row r="4847" spans="2:8" hidden="1" outlineLevel="1">
      <c r="B4847" s="76"/>
      <c r="C4847" s="9" t="str">
        <f>C4846</f>
        <v>Show</v>
      </c>
      <c r="D4847" s="23"/>
      <c r="E4847" s="13"/>
      <c r="F4847" s="70"/>
      <c r="G4847" s="78" t="s">
        <v>121</v>
      </c>
      <c r="H4847" s="79" t="s">
        <v>2301</v>
      </c>
    </row>
    <row r="4848" spans="2:8" hidden="1" outlineLevel="1">
      <c r="B4848" s="76"/>
      <c r="C4848" s="9" t="str">
        <f>IF(COUNTIF(C4849:C4850,"Show")&gt;0,"Show","Hide")</f>
        <v>Show</v>
      </c>
      <c r="D4848" s="23"/>
      <c r="E4848" s="13">
        <v>1.2</v>
      </c>
      <c r="F4848" s="71" t="s">
        <v>131</v>
      </c>
      <c r="G4848" s="78"/>
    </row>
    <row r="4849" spans="2:8" hidden="1" outlineLevel="1">
      <c r="B4849" s="76"/>
      <c r="C4849" t="str">
        <f>$D$5985</f>
        <v>Show</v>
      </c>
      <c r="D4849" s="23"/>
      <c r="E4849" s="13"/>
      <c r="F4849" s="70" t="s">
        <v>119</v>
      </c>
      <c r="G4849" s="12" t="s">
        <v>3473</v>
      </c>
    </row>
    <row r="4850" spans="2:8" hidden="1" outlineLevel="1">
      <c r="B4850" s="76"/>
      <c r="C4850" s="9" t="str">
        <f>C4849</f>
        <v>Show</v>
      </c>
      <c r="D4850" s="23"/>
      <c r="E4850" s="13"/>
      <c r="F4850" s="70"/>
      <c r="G4850" s="78" t="s">
        <v>121</v>
      </c>
      <c r="H4850" s="75" t="s">
        <v>2877</v>
      </c>
    </row>
    <row r="4851" spans="2:8" hidden="1" outlineLevel="1">
      <c r="B4851" s="76"/>
      <c r="C4851" s="9" t="str">
        <f>C4844</f>
        <v>Show</v>
      </c>
      <c r="D4851" s="23" t="s">
        <v>613</v>
      </c>
      <c r="E4851" s="13"/>
      <c r="G4851" s="13"/>
    </row>
    <row r="4852" spans="2:8" hidden="1" outlineLevel="1">
      <c r="B4852" s="76"/>
      <c r="C4852" s="9" t="str">
        <f>C4844</f>
        <v>Show</v>
      </c>
      <c r="D4852" s="23"/>
      <c r="E4852" s="12" t="str">
        <f>IF(COUNTIF(C4853:C4854,"Show")&gt;0,"2.1 Product Requirements","No EGC Requirements")</f>
        <v>2.1 Product Requirements</v>
      </c>
      <c r="G4852" s="13"/>
    </row>
    <row r="4853" spans="2:8" hidden="1" outlineLevel="1">
      <c r="B4853" s="76"/>
      <c r="C4853" t="str">
        <f>$E$5985</f>
        <v>Show</v>
      </c>
      <c r="D4853" s="23"/>
      <c r="E4853" s="12"/>
      <c r="F4853" s="70" t="s">
        <v>119</v>
      </c>
      <c r="G4853" s="12" t="s">
        <v>3473</v>
      </c>
    </row>
    <row r="4854" spans="2:8" hidden="1" outlineLevel="1">
      <c r="B4854" s="76"/>
      <c r="C4854" s="9" t="str">
        <f>C4853</f>
        <v>Show</v>
      </c>
      <c r="D4854" s="23"/>
      <c r="E4854" s="12"/>
      <c r="G4854" s="78" t="s">
        <v>121</v>
      </c>
      <c r="H4854" s="75" t="s">
        <v>2879</v>
      </c>
    </row>
    <row r="4855" spans="2:8" hidden="1" outlineLevel="1">
      <c r="B4855" s="76"/>
      <c r="C4855" s="9" t="str">
        <f>C4844</f>
        <v>Show</v>
      </c>
      <c r="D4855" s="23" t="s">
        <v>187</v>
      </c>
      <c r="E4855" s="13"/>
      <c r="G4855" s="13"/>
    </row>
    <row r="4856" spans="2:8" hidden="1" outlineLevel="1">
      <c r="B4856" s="76"/>
      <c r="C4856" s="9" t="str">
        <f>C4844</f>
        <v>Show</v>
      </c>
      <c r="D4856" s="23"/>
      <c r="E4856" s="12" t="str">
        <f>IF(COUNTIF(C4857:C4858,"Show")&gt;0,"3.1 Execution Requirements","No EGC Requirements")</f>
        <v>3.1 Execution Requirements</v>
      </c>
      <c r="G4856" s="13"/>
    </row>
    <row r="4857" spans="2:8" hidden="1" outlineLevel="1">
      <c r="B4857" s="76"/>
      <c r="C4857" t="str">
        <f>$F$5985</f>
        <v>Show</v>
      </c>
      <c r="D4857" s="23"/>
      <c r="E4857" s="13"/>
      <c r="F4857" s="70" t="s">
        <v>119</v>
      </c>
      <c r="G4857" s="12" t="s">
        <v>3473</v>
      </c>
    </row>
    <row r="4858" spans="2:8" hidden="1" outlineLevel="1">
      <c r="B4858" s="76"/>
      <c r="C4858" s="9" t="str">
        <f>C4857</f>
        <v>Show</v>
      </c>
      <c r="D4858" s="23"/>
      <c r="E4858" s="13"/>
      <c r="G4858" s="78" t="s">
        <v>121</v>
      </c>
      <c r="H4858" s="75" t="s">
        <v>2880</v>
      </c>
    </row>
    <row r="4859" spans="2:8" hidden="1" outlineLevel="1">
      <c r="B4859" s="76"/>
      <c r="C4859" s="9" t="str">
        <f>C4844</f>
        <v>Show</v>
      </c>
    </row>
    <row r="4860" spans="2:8" collapsed="1">
      <c r="B4860" s="23"/>
      <c r="C4860" s="2" t="str">
        <f>C4861</f>
        <v>Show</v>
      </c>
      <c r="D4860" s="55" t="s">
        <v>1717</v>
      </c>
      <c r="E4860" s="60"/>
      <c r="F4860" s="57" t="s">
        <v>1715</v>
      </c>
      <c r="G4860" s="53"/>
      <c r="H4860" s="54"/>
    </row>
    <row r="4861" spans="2:8" hidden="1" outlineLevel="1">
      <c r="B4861" s="76"/>
      <c r="C4861" s="2" t="str">
        <f>IF((COUNTIF(C4865:C4873,"Show")+COUNTIF(C4876:C4883,"Show")+COUNTIF(C4886:C4893,"Show"))&gt;0,"Show","Hide")</f>
        <v>Show</v>
      </c>
      <c r="D4861" s="23" t="s">
        <v>117</v>
      </c>
      <c r="E4861" s="13"/>
      <c r="G4861" s="13"/>
    </row>
    <row r="4862" spans="2:8" hidden="1" outlineLevel="1">
      <c r="B4862" s="76"/>
      <c r="C4862" s="9" t="str">
        <f>C4861</f>
        <v>Show</v>
      </c>
      <c r="D4862" s="23"/>
      <c r="E4862" s="13">
        <v>1.1000000000000001</v>
      </c>
      <c r="F4862" s="11" t="s">
        <v>118</v>
      </c>
      <c r="G4862" s="13"/>
    </row>
    <row r="4863" spans="2:8" hidden="1" outlineLevel="1">
      <c r="B4863" s="76"/>
      <c r="C4863" s="9" t="str">
        <f>C4862</f>
        <v>Show</v>
      </c>
      <c r="D4863" s="23"/>
      <c r="E4863" s="13"/>
      <c r="F4863" s="70" t="s">
        <v>119</v>
      </c>
      <c r="G4863" s="18" t="s">
        <v>677</v>
      </c>
    </row>
    <row r="4864" spans="2:8" hidden="1" outlineLevel="1">
      <c r="B4864" s="76"/>
      <c r="C4864" s="9" t="str">
        <f>C4863</f>
        <v>Show</v>
      </c>
      <c r="D4864" s="23"/>
      <c r="E4864" s="13"/>
      <c r="F4864" s="70"/>
      <c r="G4864" s="78" t="s">
        <v>121</v>
      </c>
      <c r="H4864" s="79" t="s">
        <v>2301</v>
      </c>
    </row>
    <row r="4865" spans="2:8" hidden="1" outlineLevel="1">
      <c r="B4865" s="76"/>
      <c r="C4865" s="9" t="str">
        <f>IF(COUNTIF(C4866:C4873,"Show")&gt;0,"Show","Hide")</f>
        <v>Show</v>
      </c>
      <c r="D4865" s="23"/>
      <c r="E4865" s="13">
        <v>1.2</v>
      </c>
      <c r="F4865" s="71" t="s">
        <v>131</v>
      </c>
      <c r="G4865" s="78"/>
    </row>
    <row r="4866" spans="2:8" hidden="1" outlineLevel="1">
      <c r="B4866" s="76"/>
      <c r="C4866" t="str">
        <f>$D$5964</f>
        <v>Show</v>
      </c>
      <c r="D4866" s="23"/>
      <c r="E4866" s="13"/>
      <c r="F4866" s="70" t="s">
        <v>119</v>
      </c>
      <c r="G4866" s="12" t="s">
        <v>3410</v>
      </c>
    </row>
    <row r="4867" spans="2:8" hidden="1" outlineLevel="1">
      <c r="B4867" s="76"/>
      <c r="C4867" s="9" t="str">
        <f>C4866</f>
        <v>Show</v>
      </c>
      <c r="D4867" s="23"/>
      <c r="E4867" s="13"/>
      <c r="F4867" s="70"/>
      <c r="G4867" s="78" t="s">
        <v>121</v>
      </c>
      <c r="H4867" s="75" t="s">
        <v>2335</v>
      </c>
    </row>
    <row r="4868" spans="2:8" hidden="1" outlineLevel="1">
      <c r="B4868" s="76"/>
      <c r="C4868" t="str">
        <f>$D$5965</f>
        <v>Show</v>
      </c>
      <c r="D4868" s="23"/>
      <c r="E4868" s="13"/>
      <c r="F4868" s="70" t="str">
        <f>CHAR(65+(COUNTIF(C$4866:C4867,"Show")/2))&amp;"."</f>
        <v>B.</v>
      </c>
      <c r="G4868" s="12" t="s">
        <v>3414</v>
      </c>
    </row>
    <row r="4869" spans="2:8" hidden="1" outlineLevel="1">
      <c r="B4869" s="76"/>
      <c r="C4869" s="9" t="str">
        <f>C4868</f>
        <v>Show</v>
      </c>
      <c r="D4869" s="23"/>
      <c r="E4869" s="13"/>
      <c r="F4869" s="70"/>
      <c r="G4869" s="78" t="s">
        <v>121</v>
      </c>
      <c r="H4869" s="75" t="s">
        <v>2350</v>
      </c>
    </row>
    <row r="4870" spans="2:8" hidden="1" outlineLevel="1">
      <c r="B4870" s="76"/>
      <c r="C4870" t="str">
        <f>$D$5966</f>
        <v>Show</v>
      </c>
      <c r="D4870" s="23"/>
      <c r="E4870" s="13"/>
      <c r="F4870" s="70" t="str">
        <f>CHAR(65+(COUNTIF(C$4866:C4869,"Show")/2))&amp;"."</f>
        <v>C.</v>
      </c>
      <c r="G4870" s="12" t="s">
        <v>3449</v>
      </c>
    </row>
    <row r="4871" spans="2:8" hidden="1" outlineLevel="1">
      <c r="B4871" s="76"/>
      <c r="C4871" s="9" t="str">
        <f>C4870</f>
        <v>Show</v>
      </c>
      <c r="D4871" s="23"/>
      <c r="E4871" s="13"/>
      <c r="F4871" s="70"/>
      <c r="G4871" s="78" t="s">
        <v>121</v>
      </c>
      <c r="H4871" s="75" t="s">
        <v>2336</v>
      </c>
    </row>
    <row r="4872" spans="2:8" hidden="1" outlineLevel="1">
      <c r="B4872" s="76"/>
      <c r="C4872" t="str">
        <f>$D$5967</f>
        <v>Show</v>
      </c>
      <c r="D4872" s="23"/>
      <c r="E4872" s="13"/>
      <c r="F4872" s="70" t="str">
        <f>CHAR(65+(COUNTIF(C$4866:C4871,"Show")/2))&amp;"."</f>
        <v>D.</v>
      </c>
      <c r="G4872" s="12" t="s">
        <v>3493</v>
      </c>
    </row>
    <row r="4873" spans="2:8" ht="30" hidden="1" outlineLevel="1">
      <c r="B4873" s="76"/>
      <c r="C4873" s="9" t="str">
        <f>C4872</f>
        <v>Show</v>
      </c>
      <c r="D4873" s="23"/>
      <c r="E4873" s="13"/>
      <c r="F4873" s="70"/>
      <c r="G4873" s="78" t="s">
        <v>121</v>
      </c>
      <c r="H4873" s="75" t="s">
        <v>2838</v>
      </c>
    </row>
    <row r="4874" spans="2:8" hidden="1" outlineLevel="1">
      <c r="B4874" s="76"/>
      <c r="C4874" s="9" t="str">
        <f>C4861</f>
        <v>Show</v>
      </c>
      <c r="D4874" s="23" t="s">
        <v>613</v>
      </c>
      <c r="E4874" s="13"/>
      <c r="G4874" s="13"/>
    </row>
    <row r="4875" spans="2:8" hidden="1" outlineLevel="1">
      <c r="B4875" s="76"/>
      <c r="C4875" s="9" t="str">
        <f>C4861</f>
        <v>Show</v>
      </c>
      <c r="D4875" s="23"/>
      <c r="E4875" s="12" t="str">
        <f>IF(COUNTIF(C4876:C4883,"Show")&gt;0,"2.1 Product Requirements","No EGC Requirements")</f>
        <v>2.1 Product Requirements</v>
      </c>
      <c r="G4875" s="13"/>
    </row>
    <row r="4876" spans="2:8" hidden="1" outlineLevel="1">
      <c r="B4876" s="76"/>
      <c r="C4876" t="str">
        <f>$E$5964</f>
        <v>Show</v>
      </c>
      <c r="D4876" s="23"/>
      <c r="E4876" s="12"/>
      <c r="F4876" s="70" t="s">
        <v>119</v>
      </c>
      <c r="G4876" s="12" t="s">
        <v>3410</v>
      </c>
    </row>
    <row r="4877" spans="2:8" hidden="1" outlineLevel="1">
      <c r="B4877" s="76"/>
      <c r="C4877" s="9" t="str">
        <f>C4876</f>
        <v>Show</v>
      </c>
      <c r="D4877" s="23"/>
      <c r="E4877" s="12"/>
      <c r="G4877" s="30" t="s">
        <v>121</v>
      </c>
      <c r="H4877" s="75" t="s">
        <v>2337</v>
      </c>
    </row>
    <row r="4878" spans="2:8" hidden="1" outlineLevel="1">
      <c r="B4878" s="76"/>
      <c r="C4878" t="str">
        <f>$E$5965</f>
        <v>Show</v>
      </c>
      <c r="D4878" s="23"/>
      <c r="E4878" s="12"/>
      <c r="F4878" s="70" t="str">
        <f>CHAR(65+(COUNTIF(C$4876:C4877,"Show")/2))&amp;"."</f>
        <v>B.</v>
      </c>
      <c r="G4878" s="12" t="s">
        <v>3414</v>
      </c>
    </row>
    <row r="4879" spans="2:8" hidden="1" outlineLevel="1">
      <c r="B4879" s="76"/>
      <c r="C4879" s="9" t="str">
        <f>C4878</f>
        <v>Show</v>
      </c>
      <c r="D4879" s="23"/>
      <c r="E4879" s="12"/>
      <c r="G4879" s="30" t="s">
        <v>121</v>
      </c>
      <c r="H4879" s="75" t="s">
        <v>2351</v>
      </c>
    </row>
    <row r="4880" spans="2:8" hidden="1" outlineLevel="1">
      <c r="B4880" s="76"/>
      <c r="C4880" t="str">
        <f>$E$5966</f>
        <v>Show</v>
      </c>
      <c r="D4880" s="23"/>
      <c r="E4880" s="12"/>
      <c r="F4880" s="70" t="str">
        <f>CHAR(65+(COUNTIF(C$4876:C4879,"Show")/2))&amp;"."</f>
        <v>C.</v>
      </c>
      <c r="G4880" s="12" t="s">
        <v>3449</v>
      </c>
    </row>
    <row r="4881" spans="2:8" hidden="1" outlineLevel="1">
      <c r="B4881" s="76"/>
      <c r="C4881" s="9" t="str">
        <f>C4880</f>
        <v>Show</v>
      </c>
      <c r="D4881" s="23"/>
      <c r="E4881" s="12"/>
      <c r="G4881" s="30" t="s">
        <v>121</v>
      </c>
      <c r="H4881" s="75" t="s">
        <v>2338</v>
      </c>
    </row>
    <row r="4882" spans="2:8" hidden="1" outlineLevel="1">
      <c r="B4882" s="76"/>
      <c r="C4882" t="str">
        <f>$E$5967</f>
        <v>Show</v>
      </c>
      <c r="D4882" s="23"/>
      <c r="E4882" s="12"/>
      <c r="F4882" s="70" t="str">
        <f>CHAR(65+(COUNTIF(C$4876:C4881,"Show")/2))&amp;"."</f>
        <v>D.</v>
      </c>
      <c r="G4882" s="12" t="s">
        <v>3493</v>
      </c>
    </row>
    <row r="4883" spans="2:8" hidden="1" outlineLevel="1">
      <c r="B4883" s="76"/>
      <c r="C4883" s="9" t="str">
        <f>C4882</f>
        <v>Show</v>
      </c>
      <c r="D4883" s="23"/>
      <c r="E4883" s="12"/>
      <c r="G4883" s="30" t="s">
        <v>121</v>
      </c>
      <c r="H4883" s="75" t="s">
        <v>2839</v>
      </c>
    </row>
    <row r="4884" spans="2:8" hidden="1" outlineLevel="1">
      <c r="B4884" s="76"/>
      <c r="C4884" s="9" t="str">
        <f>C4861</f>
        <v>Show</v>
      </c>
      <c r="D4884" s="23" t="s">
        <v>187</v>
      </c>
      <c r="E4884" s="13"/>
      <c r="G4884" s="13"/>
    </row>
    <row r="4885" spans="2:8" hidden="1" outlineLevel="1">
      <c r="B4885" s="76"/>
      <c r="C4885" s="9" t="str">
        <f>C4861</f>
        <v>Show</v>
      </c>
      <c r="D4885" s="23"/>
      <c r="E4885" s="12" t="str">
        <f>IF(COUNTIF(C4886:C4893,"Show")&gt;0,"3.1 Execution Requirements","No EGC Requirements")</f>
        <v>3.1 Execution Requirements</v>
      </c>
      <c r="G4885" s="13"/>
    </row>
    <row r="4886" spans="2:8" hidden="1" outlineLevel="1">
      <c r="B4886" s="76"/>
      <c r="C4886" t="str">
        <f>$F$5964</f>
        <v>Show</v>
      </c>
      <c r="D4886" s="23"/>
      <c r="E4886" s="13"/>
      <c r="F4886" s="70" t="s">
        <v>119</v>
      </c>
      <c r="G4886" s="12" t="s">
        <v>3410</v>
      </c>
    </row>
    <row r="4887" spans="2:8" ht="30" hidden="1" outlineLevel="1">
      <c r="B4887" s="76"/>
      <c r="C4887" s="9" t="str">
        <f>C4886</f>
        <v>Show</v>
      </c>
      <c r="D4887" s="23"/>
      <c r="E4887" s="13"/>
      <c r="G4887" s="78" t="s">
        <v>121</v>
      </c>
      <c r="H4887" s="75" t="s">
        <v>2339</v>
      </c>
    </row>
    <row r="4888" spans="2:8" hidden="1" outlineLevel="1">
      <c r="B4888" s="76"/>
      <c r="C4888" t="str">
        <f>$F$5965</f>
        <v>Show</v>
      </c>
      <c r="D4888" s="23"/>
      <c r="E4888" s="13"/>
      <c r="F4888" s="70" t="str">
        <f>CHAR(65+(COUNTIF(C$4886:C4887,"Show")/2))&amp;"."</f>
        <v>B.</v>
      </c>
      <c r="G4888" s="12" t="s">
        <v>3414</v>
      </c>
    </row>
    <row r="4889" spans="2:8" ht="30" hidden="1" outlineLevel="1">
      <c r="B4889" s="76"/>
      <c r="C4889" s="9" t="str">
        <f>C4888</f>
        <v>Show</v>
      </c>
      <c r="D4889" s="23"/>
      <c r="E4889" s="13"/>
      <c r="G4889" s="78" t="s">
        <v>121</v>
      </c>
      <c r="H4889" s="75" t="s">
        <v>2352</v>
      </c>
    </row>
    <row r="4890" spans="2:8" hidden="1" outlineLevel="1">
      <c r="B4890" s="76"/>
      <c r="C4890" t="str">
        <f>$F$5966</f>
        <v>Show</v>
      </c>
      <c r="D4890" s="23"/>
      <c r="E4890" s="13"/>
      <c r="F4890" s="70" t="str">
        <f>CHAR(65+(COUNTIF(C$4886:C4889,"Show")/2))&amp;"."</f>
        <v>C.</v>
      </c>
      <c r="G4890" s="12" t="s">
        <v>3449</v>
      </c>
    </row>
    <row r="4891" spans="2:8" hidden="1" outlineLevel="1">
      <c r="B4891" s="76"/>
      <c r="C4891" s="9" t="str">
        <f>C4890</f>
        <v>Show</v>
      </c>
      <c r="D4891" s="23"/>
      <c r="E4891" s="13"/>
      <c r="G4891" s="78" t="s">
        <v>121</v>
      </c>
      <c r="H4891" s="75" t="s">
        <v>2841</v>
      </c>
    </row>
    <row r="4892" spans="2:8" hidden="1" outlineLevel="1">
      <c r="B4892" s="76"/>
      <c r="C4892" t="str">
        <f>$F$5967</f>
        <v>Show</v>
      </c>
      <c r="D4892" s="23"/>
      <c r="E4892" s="13"/>
      <c r="F4892" s="70" t="str">
        <f>CHAR(65+(COUNTIF(C$4886:C4891,"Show")/2))&amp;"."</f>
        <v>D.</v>
      </c>
      <c r="G4892" s="12" t="s">
        <v>3493</v>
      </c>
    </row>
    <row r="4893" spans="2:8" ht="30" hidden="1" outlineLevel="1">
      <c r="B4893" s="76"/>
      <c r="C4893" s="9" t="str">
        <f>C4892</f>
        <v>Show</v>
      </c>
      <c r="D4893" s="23"/>
      <c r="E4893" s="13"/>
      <c r="G4893" s="78" t="s">
        <v>121</v>
      </c>
      <c r="H4893" s="75" t="s">
        <v>2840</v>
      </c>
    </row>
    <row r="4894" spans="2:8" hidden="1" outlineLevel="1">
      <c r="B4894" s="76"/>
      <c r="C4894" s="9" t="str">
        <f>C4861</f>
        <v>Show</v>
      </c>
    </row>
    <row r="4895" spans="2:8" collapsed="1">
      <c r="B4895" s="23"/>
      <c r="C4895" s="2" t="str">
        <f>C4896</f>
        <v>Show</v>
      </c>
      <c r="D4895" s="55" t="s">
        <v>1719</v>
      </c>
      <c r="E4895" s="55"/>
      <c r="F4895" s="57" t="s">
        <v>1718</v>
      </c>
      <c r="G4895" s="53"/>
      <c r="H4895" s="54"/>
    </row>
    <row r="4896" spans="2:8" hidden="1" outlineLevel="1">
      <c r="B4896" s="76"/>
      <c r="C4896" s="2" t="str">
        <f>IF((COUNTIF(C4900:C4902,"Show")+COUNTIF(C4905:C4906,"Show")+COUNTIF(C4909:C4910,"Show"))&gt;0,"Show","Hide")</f>
        <v>Show</v>
      </c>
      <c r="D4896" s="23" t="s">
        <v>117</v>
      </c>
      <c r="E4896" s="13"/>
      <c r="G4896" s="13"/>
    </row>
    <row r="4897" spans="2:8" hidden="1" outlineLevel="1">
      <c r="B4897" s="76"/>
      <c r="C4897" s="9" t="str">
        <f>C4896</f>
        <v>Show</v>
      </c>
      <c r="D4897" s="23"/>
      <c r="E4897" s="13">
        <v>1.1000000000000001</v>
      </c>
      <c r="F4897" s="11" t="s">
        <v>118</v>
      </c>
      <c r="G4897" s="13"/>
    </row>
    <row r="4898" spans="2:8" hidden="1" outlineLevel="1">
      <c r="B4898" s="76"/>
      <c r="C4898" s="9" t="str">
        <f>C4897</f>
        <v>Show</v>
      </c>
      <c r="D4898" s="23"/>
      <c r="E4898" s="13"/>
      <c r="F4898" s="70" t="s">
        <v>119</v>
      </c>
      <c r="G4898" s="18" t="s">
        <v>677</v>
      </c>
    </row>
    <row r="4899" spans="2:8" hidden="1" outlineLevel="1">
      <c r="B4899" s="76"/>
      <c r="C4899" s="9" t="str">
        <f>C4898</f>
        <v>Show</v>
      </c>
      <c r="D4899" s="23"/>
      <c r="E4899" s="13"/>
      <c r="F4899" s="70"/>
      <c r="G4899" s="78" t="s">
        <v>121</v>
      </c>
      <c r="H4899" s="79" t="s">
        <v>2301</v>
      </c>
    </row>
    <row r="4900" spans="2:8" hidden="1" outlineLevel="1">
      <c r="B4900" s="76"/>
      <c r="C4900" s="9" t="str">
        <f>IF(COUNTIF(C4901:C4902,"Show")&gt;0,"Show","Hide")</f>
        <v>Show</v>
      </c>
      <c r="D4900" s="23"/>
      <c r="E4900" s="13">
        <v>1.2</v>
      </c>
      <c r="F4900" s="71" t="s">
        <v>131</v>
      </c>
      <c r="G4900" s="78"/>
    </row>
    <row r="4901" spans="2:8" hidden="1" outlineLevel="1">
      <c r="B4901" s="76"/>
      <c r="C4901" t="str">
        <f>$D$5985</f>
        <v>Show</v>
      </c>
      <c r="D4901" s="23"/>
      <c r="E4901" s="13"/>
      <c r="F4901" s="70" t="s">
        <v>119</v>
      </c>
      <c r="G4901" s="12" t="s">
        <v>3473</v>
      </c>
    </row>
    <row r="4902" spans="2:8" hidden="1" outlineLevel="1">
      <c r="B4902" s="76"/>
      <c r="C4902" s="9" t="str">
        <f>C4901</f>
        <v>Show</v>
      </c>
      <c r="D4902" s="23"/>
      <c r="E4902" s="13"/>
      <c r="F4902" s="70"/>
      <c r="G4902" s="78" t="s">
        <v>121</v>
      </c>
      <c r="H4902" s="75" t="s">
        <v>2877</v>
      </c>
    </row>
    <row r="4903" spans="2:8" hidden="1" outlineLevel="1">
      <c r="B4903" s="76"/>
      <c r="C4903" s="9" t="str">
        <f>C4896</f>
        <v>Show</v>
      </c>
      <c r="D4903" s="23" t="s">
        <v>613</v>
      </c>
      <c r="E4903" s="13"/>
      <c r="G4903" s="13"/>
    </row>
    <row r="4904" spans="2:8" hidden="1" outlineLevel="1">
      <c r="B4904" s="76"/>
      <c r="C4904" s="9" t="str">
        <f>C4896</f>
        <v>Show</v>
      </c>
      <c r="D4904" s="23"/>
      <c r="E4904" s="12" t="str">
        <f>IF(COUNTIF(C4905:C4906,"Show")&gt;0,"2.1 Product Requirements","No EGC Requirements")</f>
        <v>2.1 Product Requirements</v>
      </c>
      <c r="G4904" s="13"/>
    </row>
    <row r="4905" spans="2:8" hidden="1" outlineLevel="1">
      <c r="B4905" s="76"/>
      <c r="C4905" t="str">
        <f>$E$5985</f>
        <v>Show</v>
      </c>
      <c r="D4905" s="23"/>
      <c r="E4905" s="12"/>
      <c r="F4905" s="70" t="s">
        <v>119</v>
      </c>
      <c r="G4905" s="12" t="s">
        <v>3473</v>
      </c>
    </row>
    <row r="4906" spans="2:8" hidden="1" outlineLevel="1">
      <c r="B4906" s="76"/>
      <c r="C4906" s="9" t="str">
        <f>C4905</f>
        <v>Show</v>
      </c>
      <c r="D4906" s="23"/>
      <c r="E4906" s="12"/>
      <c r="G4906" s="78" t="s">
        <v>121</v>
      </c>
      <c r="H4906" s="75" t="s">
        <v>2879</v>
      </c>
    </row>
    <row r="4907" spans="2:8" hidden="1" outlineLevel="1">
      <c r="B4907" s="76"/>
      <c r="C4907" s="9" t="str">
        <f>C4896</f>
        <v>Show</v>
      </c>
      <c r="D4907" s="23" t="s">
        <v>187</v>
      </c>
      <c r="E4907" s="13"/>
      <c r="G4907" s="13"/>
    </row>
    <row r="4908" spans="2:8" hidden="1" outlineLevel="1">
      <c r="B4908" s="76"/>
      <c r="C4908" s="9" t="str">
        <f>C4896</f>
        <v>Show</v>
      </c>
      <c r="D4908" s="23"/>
      <c r="E4908" s="12" t="str">
        <f>IF(COUNTIF(C4909:C4910,"Show")&gt;0,"3.1 Execution Requirements","No EGC Requirements")</f>
        <v>3.1 Execution Requirements</v>
      </c>
      <c r="G4908" s="13"/>
    </row>
    <row r="4909" spans="2:8" hidden="1" outlineLevel="1">
      <c r="B4909" s="76"/>
      <c r="C4909" t="str">
        <f>$F$5985</f>
        <v>Show</v>
      </c>
      <c r="D4909" s="23"/>
      <c r="E4909" s="13"/>
      <c r="F4909" s="70" t="s">
        <v>119</v>
      </c>
      <c r="G4909" s="12" t="s">
        <v>3473</v>
      </c>
    </row>
    <row r="4910" spans="2:8" hidden="1" outlineLevel="1">
      <c r="B4910" s="76"/>
      <c r="C4910" s="9" t="str">
        <f>C4909</f>
        <v>Show</v>
      </c>
      <c r="D4910" s="23"/>
      <c r="E4910" s="13"/>
      <c r="G4910" s="78" t="s">
        <v>121</v>
      </c>
      <c r="H4910" s="75" t="s">
        <v>2880</v>
      </c>
    </row>
    <row r="4911" spans="2:8" hidden="1" outlineLevel="1">
      <c r="B4911" s="76"/>
      <c r="C4911" s="9" t="str">
        <f>C4896</f>
        <v>Show</v>
      </c>
    </row>
    <row r="4912" spans="2:8" collapsed="1">
      <c r="B4912" s="76"/>
      <c r="C4912" s="7" t="s">
        <v>116</v>
      </c>
      <c r="D4912" s="80"/>
      <c r="E4912" s="132"/>
      <c r="F4912" s="12"/>
      <c r="G4912" s="69"/>
    </row>
    <row r="4913" spans="2:8">
      <c r="B4913" s="76"/>
      <c r="C4913" s="7" t="s">
        <v>116</v>
      </c>
      <c r="D4913" s="38" t="s">
        <v>560</v>
      </c>
      <c r="E4913" s="45"/>
      <c r="F4913" s="46"/>
      <c r="G4913" s="39"/>
      <c r="H4913" s="41"/>
    </row>
    <row r="4914" spans="2:8">
      <c r="B4914" s="23"/>
      <c r="C4914" s="2" t="str">
        <f>C4915</f>
        <v>Show</v>
      </c>
      <c r="D4914" s="55" t="s">
        <v>1723</v>
      </c>
      <c r="E4914" s="55"/>
      <c r="F4914" s="57" t="s">
        <v>1720</v>
      </c>
      <c r="G4914" s="53"/>
      <c r="H4914" s="54"/>
    </row>
    <row r="4915" spans="2:8" hidden="1" outlineLevel="1">
      <c r="B4915" s="76"/>
      <c r="C4915" s="2" t="str">
        <f>IF((COUNTIF(C4919:C4921,"Show"))&gt;0,"Show","Hide")</f>
        <v>Show</v>
      </c>
      <c r="D4915" s="23" t="s">
        <v>117</v>
      </c>
      <c r="E4915" s="13"/>
      <c r="G4915" s="13"/>
    </row>
    <row r="4916" spans="2:8" hidden="1" outlineLevel="1">
      <c r="B4916" s="76"/>
      <c r="C4916" s="9" t="str">
        <f>C4915</f>
        <v>Show</v>
      </c>
      <c r="D4916" s="23"/>
      <c r="E4916" s="13">
        <v>1.1000000000000001</v>
      </c>
      <c r="F4916" s="11" t="s">
        <v>118</v>
      </c>
      <c r="G4916" s="13"/>
    </row>
    <row r="4917" spans="2:8" hidden="1" outlineLevel="1">
      <c r="B4917" s="76"/>
      <c r="C4917" s="9" t="str">
        <f>C4916</f>
        <v>Show</v>
      </c>
      <c r="D4917" s="23"/>
      <c r="E4917" s="13"/>
      <c r="F4917" s="70" t="s">
        <v>119</v>
      </c>
      <c r="G4917" s="18" t="s">
        <v>677</v>
      </c>
    </row>
    <row r="4918" spans="2:8" hidden="1" outlineLevel="1">
      <c r="B4918" s="76"/>
      <c r="C4918" s="9" t="str">
        <f>C4917</f>
        <v>Show</v>
      </c>
      <c r="D4918" s="23"/>
      <c r="E4918" s="13"/>
      <c r="F4918" s="70"/>
      <c r="G4918" s="78" t="s">
        <v>121</v>
      </c>
      <c r="H4918" s="79" t="s">
        <v>2301</v>
      </c>
    </row>
    <row r="4919" spans="2:8" hidden="1" outlineLevel="1">
      <c r="B4919" s="76"/>
      <c r="C4919" s="9" t="str">
        <f>IF(COUNTIF(C4920:C4921,"Show")&gt;0,"Show","Hide")</f>
        <v>Show</v>
      </c>
      <c r="D4919" s="23"/>
      <c r="E4919" s="13">
        <v>1.2</v>
      </c>
      <c r="F4919" s="71" t="s">
        <v>131</v>
      </c>
      <c r="G4919" s="78"/>
    </row>
    <row r="4920" spans="2:8" hidden="1" outlineLevel="1">
      <c r="B4920" s="76"/>
      <c r="C4920" t="str">
        <f>$D$5998</f>
        <v>Show</v>
      </c>
      <c r="D4920" s="23"/>
      <c r="E4920" s="13"/>
      <c r="F4920" s="70" t="s">
        <v>119</v>
      </c>
      <c r="G4920" s="12" t="s">
        <v>3465</v>
      </c>
    </row>
    <row r="4921" spans="2:8" hidden="1" outlineLevel="1">
      <c r="B4921" s="76"/>
      <c r="C4921" s="9" t="str">
        <f>C4920</f>
        <v>Show</v>
      </c>
      <c r="D4921" s="23"/>
      <c r="E4921" s="13"/>
      <c r="F4921" s="70"/>
      <c r="G4921" s="78" t="s">
        <v>121</v>
      </c>
      <c r="H4921" s="75" t="s">
        <v>2326</v>
      </c>
    </row>
    <row r="4922" spans="2:8" hidden="1" outlineLevel="1">
      <c r="B4922" s="76"/>
      <c r="C4922" s="9" t="str">
        <f>C4915</f>
        <v>Show</v>
      </c>
      <c r="D4922" s="23" t="s">
        <v>613</v>
      </c>
      <c r="E4922" s="13"/>
      <c r="G4922" s="13"/>
    </row>
    <row r="4923" spans="2:8" hidden="1" outlineLevel="1">
      <c r="B4923" s="76"/>
      <c r="C4923" s="9" t="str">
        <f>C4915</f>
        <v>Show</v>
      </c>
      <c r="D4923" s="23"/>
      <c r="E4923" s="12" t="s">
        <v>2703</v>
      </c>
      <c r="G4923" s="13"/>
    </row>
    <row r="4924" spans="2:8" hidden="1" outlineLevel="1">
      <c r="B4924" s="76"/>
      <c r="C4924" s="9" t="str">
        <f>C4915</f>
        <v>Show</v>
      </c>
      <c r="D4924" s="23" t="s">
        <v>187</v>
      </c>
      <c r="E4924" s="13"/>
      <c r="G4924" s="13"/>
    </row>
    <row r="4925" spans="2:8" hidden="1" outlineLevel="1">
      <c r="B4925" s="76"/>
      <c r="C4925" s="9" t="str">
        <f>C4915</f>
        <v>Show</v>
      </c>
      <c r="D4925" s="23"/>
      <c r="E4925" s="12" t="s">
        <v>2703</v>
      </c>
      <c r="G4925" s="13"/>
    </row>
    <row r="4926" spans="2:8" hidden="1" outlineLevel="1">
      <c r="B4926" s="76"/>
      <c r="C4926" s="9" t="str">
        <f>C4915</f>
        <v>Show</v>
      </c>
    </row>
    <row r="4927" spans="2:8" collapsed="1">
      <c r="B4927" s="23"/>
      <c r="C4927" s="2" t="str">
        <f>C4928</f>
        <v>Show</v>
      </c>
      <c r="D4927" s="55" t="s">
        <v>2004</v>
      </c>
      <c r="E4927" s="55"/>
      <c r="F4927" s="57" t="s">
        <v>2005</v>
      </c>
      <c r="G4927" s="53"/>
      <c r="H4927" s="54"/>
    </row>
    <row r="4928" spans="2:8" hidden="1" outlineLevel="1">
      <c r="B4928" s="76"/>
      <c r="C4928" s="2" t="str">
        <f>IF((COUNTIF(C4932:C4938,"Show")+COUNTIF(C4941:C4944,"Show")+COUNTIF(C4947:C4952,"Show"))&gt;0,"Show","Hide")</f>
        <v>Show</v>
      </c>
      <c r="D4928" s="23" t="s">
        <v>117</v>
      </c>
      <c r="E4928" s="13"/>
      <c r="G4928" s="13"/>
    </row>
    <row r="4929" spans="2:8" hidden="1" outlineLevel="1">
      <c r="B4929" s="76"/>
      <c r="C4929" s="9" t="str">
        <f>C4928</f>
        <v>Show</v>
      </c>
      <c r="D4929" s="23"/>
      <c r="E4929" s="13">
        <v>1.1000000000000001</v>
      </c>
      <c r="F4929" s="11" t="s">
        <v>118</v>
      </c>
      <c r="G4929" s="13"/>
    </row>
    <row r="4930" spans="2:8" hidden="1" outlineLevel="1">
      <c r="B4930" s="76"/>
      <c r="C4930" s="9" t="str">
        <f>C4929</f>
        <v>Show</v>
      </c>
      <c r="D4930" s="23"/>
      <c r="E4930" s="13"/>
      <c r="F4930" s="70" t="s">
        <v>119</v>
      </c>
      <c r="G4930" s="18" t="s">
        <v>677</v>
      </c>
    </row>
    <row r="4931" spans="2:8" hidden="1" outlineLevel="1">
      <c r="B4931" s="76"/>
      <c r="C4931" s="9" t="str">
        <f>C4930</f>
        <v>Show</v>
      </c>
      <c r="D4931" s="23"/>
      <c r="E4931" s="13"/>
      <c r="F4931" s="70"/>
      <c r="G4931" s="78" t="s">
        <v>121</v>
      </c>
      <c r="H4931" s="79" t="s">
        <v>2301</v>
      </c>
    </row>
    <row r="4932" spans="2:8" hidden="1" outlineLevel="1">
      <c r="B4932" s="76"/>
      <c r="C4932" s="9" t="str">
        <f>IF(COUNTIF(C4933:C4938,"Show")&gt;0,"Show","Hide")</f>
        <v>Show</v>
      </c>
      <c r="D4932" s="23"/>
      <c r="E4932" s="13">
        <v>1.2</v>
      </c>
      <c r="F4932" s="71" t="s">
        <v>131</v>
      </c>
      <c r="G4932" s="78"/>
    </row>
    <row r="4933" spans="2:8" hidden="1" outlineLevel="1">
      <c r="B4933" s="76"/>
      <c r="C4933" t="str">
        <f>$D$5967</f>
        <v>Show</v>
      </c>
      <c r="D4933" s="23"/>
      <c r="E4933" s="13"/>
      <c r="F4933" s="70" t="s">
        <v>119</v>
      </c>
      <c r="G4933" s="12" t="s">
        <v>3493</v>
      </c>
    </row>
    <row r="4934" spans="2:8" ht="30" hidden="1" outlineLevel="1">
      <c r="B4934" s="76"/>
      <c r="C4934" s="9" t="str">
        <f>C4933</f>
        <v>Show</v>
      </c>
      <c r="D4934" s="23"/>
      <c r="E4934" s="13"/>
      <c r="F4934" s="70"/>
      <c r="G4934" s="78" t="s">
        <v>121</v>
      </c>
      <c r="H4934" s="75" t="s">
        <v>2838</v>
      </c>
    </row>
    <row r="4935" spans="2:8" hidden="1" outlineLevel="1">
      <c r="B4935" s="76"/>
      <c r="C4935" t="str">
        <f>$D$5971</f>
        <v>Show</v>
      </c>
      <c r="D4935" s="23"/>
      <c r="E4935" s="13"/>
      <c r="F4935" s="70" t="str">
        <f>CHAR(65+(COUNTIF(C$4933:C4934,"Show")/2))&amp;"."</f>
        <v>B.</v>
      </c>
      <c r="G4935" s="12" t="s">
        <v>3480</v>
      </c>
    </row>
    <row r="4936" spans="2:8" hidden="1" outlineLevel="1">
      <c r="B4936" s="76"/>
      <c r="C4936" s="9" t="str">
        <f>C4935</f>
        <v>Show</v>
      </c>
      <c r="D4936" s="23"/>
      <c r="E4936" s="13"/>
      <c r="F4936" s="70"/>
      <c r="G4936" s="78" t="s">
        <v>121</v>
      </c>
      <c r="H4936" s="75" t="s">
        <v>2900</v>
      </c>
    </row>
    <row r="4937" spans="2:8" hidden="1" outlineLevel="1">
      <c r="B4937" s="76"/>
      <c r="C4937" t="str">
        <f>$D$5985</f>
        <v>Show</v>
      </c>
      <c r="D4937" s="23"/>
      <c r="E4937" s="13"/>
      <c r="F4937" s="70" t="str">
        <f>CHAR(65+(COUNTIF(C$4933:C4936,"Show")/2))&amp;"."</f>
        <v>C.</v>
      </c>
      <c r="G4937" s="12" t="s">
        <v>3473</v>
      </c>
    </row>
    <row r="4938" spans="2:8" hidden="1" outlineLevel="1">
      <c r="B4938" s="76"/>
      <c r="C4938" s="9" t="str">
        <f>C4937</f>
        <v>Show</v>
      </c>
      <c r="D4938" s="23"/>
      <c r="E4938" s="13"/>
      <c r="F4938" s="70"/>
      <c r="G4938" s="78" t="s">
        <v>121</v>
      </c>
      <c r="H4938" s="75" t="s">
        <v>2877</v>
      </c>
    </row>
    <row r="4939" spans="2:8" hidden="1" outlineLevel="1">
      <c r="B4939" s="76"/>
      <c r="C4939" s="9" t="str">
        <f>C4928</f>
        <v>Show</v>
      </c>
      <c r="D4939" s="23" t="s">
        <v>613</v>
      </c>
      <c r="E4939" s="13"/>
      <c r="G4939" s="13"/>
    </row>
    <row r="4940" spans="2:8" hidden="1" outlineLevel="1">
      <c r="B4940" s="76"/>
      <c r="C4940" s="9" t="str">
        <f>C4928</f>
        <v>Show</v>
      </c>
      <c r="D4940" s="23"/>
      <c r="E4940" s="12" t="str">
        <f>IF(COUNTIF(C4941:C4944,"Show")&gt;0,"2.1 Product Requirements","No EGC Requirements")</f>
        <v>2.1 Product Requirements</v>
      </c>
      <c r="G4940" s="13"/>
    </row>
    <row r="4941" spans="2:8" hidden="1" outlineLevel="1">
      <c r="B4941" s="76"/>
      <c r="C4941" t="str">
        <f>$E$5967</f>
        <v>Show</v>
      </c>
      <c r="D4941" s="23"/>
      <c r="E4941" s="12"/>
      <c r="F4941" s="70" t="s">
        <v>119</v>
      </c>
      <c r="G4941" s="12" t="s">
        <v>3493</v>
      </c>
    </row>
    <row r="4942" spans="2:8" hidden="1" outlineLevel="1">
      <c r="B4942" s="76"/>
      <c r="C4942" s="9" t="str">
        <f>C4941</f>
        <v>Show</v>
      </c>
      <c r="D4942" s="23"/>
      <c r="E4942" s="12"/>
      <c r="G4942" s="30" t="s">
        <v>121</v>
      </c>
      <c r="H4942" s="75" t="s">
        <v>2839</v>
      </c>
    </row>
    <row r="4943" spans="2:8" hidden="1" outlineLevel="1">
      <c r="B4943" s="76"/>
      <c r="C4943" t="str">
        <f>$E$5985</f>
        <v>Show</v>
      </c>
      <c r="D4943" s="23"/>
      <c r="E4943" s="12"/>
      <c r="F4943" s="70" t="str">
        <f>CHAR(65+(COUNTIF(C$4941:C4942,"Show")/2))&amp;"."</f>
        <v>B.</v>
      </c>
      <c r="G4943" s="12" t="s">
        <v>3473</v>
      </c>
    </row>
    <row r="4944" spans="2:8" hidden="1" outlineLevel="1">
      <c r="B4944" s="76"/>
      <c r="C4944" s="9" t="str">
        <f>C4943</f>
        <v>Show</v>
      </c>
      <c r="D4944" s="23"/>
      <c r="E4944" s="12"/>
      <c r="G4944" s="78" t="s">
        <v>121</v>
      </c>
      <c r="H4944" s="75" t="s">
        <v>2879</v>
      </c>
    </row>
    <row r="4945" spans="2:8" hidden="1" outlineLevel="1">
      <c r="B4945" s="76"/>
      <c r="C4945" s="9" t="str">
        <f>C4928</f>
        <v>Show</v>
      </c>
      <c r="D4945" s="23" t="s">
        <v>187</v>
      </c>
      <c r="E4945" s="13"/>
      <c r="G4945" s="13"/>
    </row>
    <row r="4946" spans="2:8" hidden="1" outlineLevel="1">
      <c r="B4946" s="76"/>
      <c r="C4946" s="9" t="str">
        <f>C4928</f>
        <v>Show</v>
      </c>
      <c r="D4946" s="23"/>
      <c r="E4946" s="12" t="str">
        <f>IF(COUNTIF(C4947:C4952,"Show")&gt;0,"3.1 Execution Requirements","No EGC Requirements")</f>
        <v>3.1 Execution Requirements</v>
      </c>
      <c r="G4946" s="13"/>
    </row>
    <row r="4947" spans="2:8" hidden="1" outlineLevel="1">
      <c r="B4947" s="76"/>
      <c r="C4947" t="str">
        <f>$F$5967</f>
        <v>Show</v>
      </c>
      <c r="D4947" s="23"/>
      <c r="E4947" s="13"/>
      <c r="F4947" s="70" t="s">
        <v>119</v>
      </c>
      <c r="G4947" s="12" t="s">
        <v>3493</v>
      </c>
    </row>
    <row r="4948" spans="2:8" ht="30" hidden="1" outlineLevel="1">
      <c r="B4948" s="76"/>
      <c r="C4948" s="9" t="str">
        <f>C4947</f>
        <v>Show</v>
      </c>
      <c r="D4948" s="23"/>
      <c r="E4948" s="13"/>
      <c r="G4948" s="78" t="s">
        <v>121</v>
      </c>
      <c r="H4948" s="75" t="s">
        <v>2840</v>
      </c>
    </row>
    <row r="4949" spans="2:8" hidden="1" outlineLevel="1">
      <c r="B4949" s="76"/>
      <c r="C4949" t="str">
        <f>$F$5971</f>
        <v>Show</v>
      </c>
      <c r="D4949" s="23"/>
      <c r="E4949" s="13"/>
      <c r="F4949" s="70" t="str">
        <f>CHAR(65+(COUNTIF(C$4947:C4948,"Show")/2))&amp;"."</f>
        <v>B.</v>
      </c>
      <c r="G4949" s="12" t="s">
        <v>3480</v>
      </c>
    </row>
    <row r="4950" spans="2:8" hidden="1" outlineLevel="1">
      <c r="B4950" s="76"/>
      <c r="C4950" s="9" t="str">
        <f>C4949</f>
        <v>Show</v>
      </c>
      <c r="D4950" s="23"/>
      <c r="E4950" s="13"/>
      <c r="G4950" s="78" t="s">
        <v>121</v>
      </c>
      <c r="H4950" s="75" t="s">
        <v>2901</v>
      </c>
    </row>
    <row r="4951" spans="2:8" hidden="1" outlineLevel="1">
      <c r="B4951" s="76"/>
      <c r="C4951" t="str">
        <f>$F$5985</f>
        <v>Show</v>
      </c>
      <c r="D4951" s="23"/>
      <c r="E4951" s="13"/>
      <c r="F4951" s="70" t="str">
        <f>CHAR(65+(COUNTIF(C$4947:C4950,"Show")/2))&amp;"."</f>
        <v>C.</v>
      </c>
      <c r="G4951" s="12" t="s">
        <v>3473</v>
      </c>
    </row>
    <row r="4952" spans="2:8" hidden="1" outlineLevel="1">
      <c r="B4952" s="76"/>
      <c r="C4952" s="9" t="str">
        <f>C4951</f>
        <v>Show</v>
      </c>
      <c r="D4952" s="23"/>
      <c r="E4952" s="13"/>
      <c r="G4952" s="78" t="s">
        <v>121</v>
      </c>
      <c r="H4952" s="75" t="s">
        <v>2880</v>
      </c>
    </row>
    <row r="4953" spans="2:8" hidden="1" outlineLevel="1">
      <c r="B4953" s="76"/>
      <c r="C4953" s="9" t="str">
        <f>C4928</f>
        <v>Show</v>
      </c>
    </row>
    <row r="4954" spans="2:8" collapsed="1">
      <c r="B4954" s="23"/>
      <c r="C4954" s="2" t="str">
        <f>C4955</f>
        <v>Show</v>
      </c>
      <c r="D4954" s="55" t="s">
        <v>1724</v>
      </c>
      <c r="E4954" s="55"/>
      <c r="F4954" s="57" t="s">
        <v>1721</v>
      </c>
      <c r="G4954" s="53"/>
      <c r="H4954" s="54"/>
    </row>
    <row r="4955" spans="2:8" hidden="1" outlineLevel="1">
      <c r="B4955" s="76"/>
      <c r="C4955" s="2" t="str">
        <f>IF((COUNTIF(C4959:C4965,"Show")+COUNTIF(C4968:C4971,"Show")+COUNTIF(C4974:C4979,"Show"))&gt;0,"Show","Hide")</f>
        <v>Show</v>
      </c>
      <c r="D4955" s="23" t="s">
        <v>117</v>
      </c>
      <c r="E4955" s="13"/>
      <c r="G4955" s="13"/>
    </row>
    <row r="4956" spans="2:8" hidden="1" outlineLevel="1">
      <c r="B4956" s="76"/>
      <c r="C4956" s="9" t="str">
        <f>C4955</f>
        <v>Show</v>
      </c>
      <c r="D4956" s="23"/>
      <c r="E4956" s="13">
        <v>1.1000000000000001</v>
      </c>
      <c r="F4956" s="11" t="s">
        <v>118</v>
      </c>
      <c r="G4956" s="13"/>
    </row>
    <row r="4957" spans="2:8" hidden="1" outlineLevel="1">
      <c r="B4957" s="76"/>
      <c r="C4957" s="9" t="str">
        <f>C4956</f>
        <v>Show</v>
      </c>
      <c r="D4957" s="23"/>
      <c r="E4957" s="13"/>
      <c r="F4957" s="70" t="s">
        <v>119</v>
      </c>
      <c r="G4957" s="18" t="s">
        <v>677</v>
      </c>
    </row>
    <row r="4958" spans="2:8" hidden="1" outlineLevel="1">
      <c r="B4958" s="76"/>
      <c r="C4958" s="9" t="str">
        <f>C4957</f>
        <v>Show</v>
      </c>
      <c r="D4958" s="23"/>
      <c r="E4958" s="13"/>
      <c r="F4958" s="70"/>
      <c r="G4958" s="78" t="s">
        <v>121</v>
      </c>
      <c r="H4958" s="79" t="s">
        <v>2301</v>
      </c>
    </row>
    <row r="4959" spans="2:8" hidden="1" outlineLevel="1">
      <c r="B4959" s="76"/>
      <c r="C4959" s="9" t="str">
        <f>IF(COUNTIF(C4960:C4965,"Show")&gt;0,"Show","Hide")</f>
        <v>Show</v>
      </c>
      <c r="D4959" s="23"/>
      <c r="E4959" s="13">
        <v>1.2</v>
      </c>
      <c r="F4959" s="71" t="s">
        <v>131</v>
      </c>
      <c r="G4959" s="78"/>
    </row>
    <row r="4960" spans="2:8" hidden="1" outlineLevel="1">
      <c r="B4960" s="76"/>
      <c r="C4960" t="str">
        <f>$D$5967</f>
        <v>Show</v>
      </c>
      <c r="D4960" s="23"/>
      <c r="E4960" s="13"/>
      <c r="F4960" s="70" t="s">
        <v>119</v>
      </c>
      <c r="G4960" s="12" t="s">
        <v>3493</v>
      </c>
    </row>
    <row r="4961" spans="2:8" ht="30" hidden="1" outlineLevel="1">
      <c r="B4961" s="76"/>
      <c r="C4961" s="9" t="str">
        <f>C4960</f>
        <v>Show</v>
      </c>
      <c r="D4961" s="23"/>
      <c r="E4961" s="13"/>
      <c r="F4961" s="70"/>
      <c r="G4961" s="78" t="s">
        <v>121</v>
      </c>
      <c r="H4961" s="75" t="s">
        <v>2838</v>
      </c>
    </row>
    <row r="4962" spans="2:8" hidden="1" outlineLevel="1">
      <c r="B4962" s="76"/>
      <c r="C4962" t="str">
        <f>$D$5971</f>
        <v>Show</v>
      </c>
      <c r="D4962" s="23"/>
      <c r="E4962" s="13"/>
      <c r="F4962" s="70" t="str">
        <f>CHAR(65+(COUNTIF(C$4960:C4961,"Show")/2))&amp;"."</f>
        <v>B.</v>
      </c>
      <c r="G4962" s="12" t="s">
        <v>3480</v>
      </c>
    </row>
    <row r="4963" spans="2:8" hidden="1" outlineLevel="1">
      <c r="B4963" s="76"/>
      <c r="C4963" s="9" t="str">
        <f>C4962</f>
        <v>Show</v>
      </c>
      <c r="D4963" s="23"/>
      <c r="E4963" s="13"/>
      <c r="F4963" s="70"/>
      <c r="G4963" s="78" t="s">
        <v>121</v>
      </c>
      <c r="H4963" s="75" t="s">
        <v>2900</v>
      </c>
    </row>
    <row r="4964" spans="2:8" hidden="1" outlineLevel="1">
      <c r="B4964" s="76"/>
      <c r="C4964" t="str">
        <f>$D$5985</f>
        <v>Show</v>
      </c>
      <c r="D4964" s="23"/>
      <c r="E4964" s="13"/>
      <c r="F4964" s="70" t="str">
        <f>CHAR(65+(COUNTIF(C$4960:C4963,"Show")/2))&amp;"."</f>
        <v>C.</v>
      </c>
      <c r="G4964" s="12" t="s">
        <v>3473</v>
      </c>
    </row>
    <row r="4965" spans="2:8" hidden="1" outlineLevel="1">
      <c r="B4965" s="76"/>
      <c r="C4965" s="9" t="str">
        <f>C4964</f>
        <v>Show</v>
      </c>
      <c r="D4965" s="23"/>
      <c r="E4965" s="13"/>
      <c r="F4965" s="70"/>
      <c r="G4965" s="78" t="s">
        <v>121</v>
      </c>
      <c r="H4965" s="75" t="s">
        <v>2877</v>
      </c>
    </row>
    <row r="4966" spans="2:8" hidden="1" outlineLevel="1">
      <c r="B4966" s="76"/>
      <c r="C4966" s="9" t="str">
        <f>C4955</f>
        <v>Show</v>
      </c>
      <c r="D4966" s="23" t="s">
        <v>613</v>
      </c>
      <c r="E4966" s="13"/>
      <c r="G4966" s="13"/>
    </row>
    <row r="4967" spans="2:8" hidden="1" outlineLevel="1">
      <c r="B4967" s="76"/>
      <c r="C4967" s="9" t="str">
        <f>C4955</f>
        <v>Show</v>
      </c>
      <c r="D4967" s="23"/>
      <c r="E4967" s="12" t="str">
        <f>IF(COUNTIF(C4968:C4971,"Show")&gt;0,"2.1 Product Requirements","No EGC Requirements")</f>
        <v>2.1 Product Requirements</v>
      </c>
      <c r="G4967" s="13"/>
    </row>
    <row r="4968" spans="2:8" hidden="1" outlineLevel="1">
      <c r="B4968" s="76"/>
      <c r="C4968" t="str">
        <f>$E$5967</f>
        <v>Show</v>
      </c>
      <c r="D4968" s="23"/>
      <c r="E4968" s="12"/>
      <c r="F4968" s="70" t="s">
        <v>119</v>
      </c>
      <c r="G4968" s="12" t="s">
        <v>3493</v>
      </c>
    </row>
    <row r="4969" spans="2:8" hidden="1" outlineLevel="1">
      <c r="B4969" s="76"/>
      <c r="C4969" s="9" t="str">
        <f>C4968</f>
        <v>Show</v>
      </c>
      <c r="D4969" s="23"/>
      <c r="E4969" s="12"/>
      <c r="G4969" s="30" t="s">
        <v>121</v>
      </c>
      <c r="H4969" s="75" t="s">
        <v>2839</v>
      </c>
    </row>
    <row r="4970" spans="2:8" hidden="1" outlineLevel="1">
      <c r="B4970" s="76"/>
      <c r="C4970" t="str">
        <f>$E$5985</f>
        <v>Show</v>
      </c>
      <c r="D4970" s="23"/>
      <c r="E4970" s="12"/>
      <c r="F4970" s="70" t="str">
        <f>CHAR(65+(COUNTIF(C$4968:C4969,"Show")/2))&amp;"."</f>
        <v>B.</v>
      </c>
      <c r="G4970" s="12" t="s">
        <v>3473</v>
      </c>
    </row>
    <row r="4971" spans="2:8" hidden="1" outlineLevel="1">
      <c r="B4971" s="76"/>
      <c r="C4971" s="9" t="str">
        <f>C4970</f>
        <v>Show</v>
      </c>
      <c r="D4971" s="23"/>
      <c r="E4971" s="12"/>
      <c r="G4971" s="78" t="s">
        <v>121</v>
      </c>
      <c r="H4971" s="75" t="s">
        <v>2879</v>
      </c>
    </row>
    <row r="4972" spans="2:8" hidden="1" outlineLevel="1">
      <c r="B4972" s="76"/>
      <c r="C4972" s="9" t="str">
        <f>C4955</f>
        <v>Show</v>
      </c>
      <c r="D4972" s="23" t="s">
        <v>187</v>
      </c>
      <c r="E4972" s="13"/>
      <c r="G4972" s="13"/>
    </row>
    <row r="4973" spans="2:8" hidden="1" outlineLevel="1">
      <c r="B4973" s="76"/>
      <c r="C4973" s="9" t="str">
        <f>C4955</f>
        <v>Show</v>
      </c>
      <c r="D4973" s="23"/>
      <c r="E4973" s="12" t="str">
        <f>IF(COUNTIF(C4974:C4979,"Show")&gt;0,"3.1 Execution Requirements","No EGC Requirements")</f>
        <v>3.1 Execution Requirements</v>
      </c>
      <c r="G4973" s="13"/>
    </row>
    <row r="4974" spans="2:8" hidden="1" outlineLevel="1">
      <c r="B4974" s="76"/>
      <c r="C4974" t="str">
        <f>$F$5967</f>
        <v>Show</v>
      </c>
      <c r="D4974" s="23"/>
      <c r="E4974" s="13"/>
      <c r="F4974" s="70" t="s">
        <v>119</v>
      </c>
      <c r="G4974" s="12" t="s">
        <v>3493</v>
      </c>
    </row>
    <row r="4975" spans="2:8" ht="30" hidden="1" outlineLevel="1">
      <c r="B4975" s="76"/>
      <c r="C4975" s="9" t="str">
        <f>C4974</f>
        <v>Show</v>
      </c>
      <c r="D4975" s="23"/>
      <c r="E4975" s="13"/>
      <c r="G4975" s="78" t="s">
        <v>121</v>
      </c>
      <c r="H4975" s="75" t="s">
        <v>2840</v>
      </c>
    </row>
    <row r="4976" spans="2:8" hidden="1" outlineLevel="1">
      <c r="B4976" s="76"/>
      <c r="C4976" t="str">
        <f>$F$5971</f>
        <v>Show</v>
      </c>
      <c r="D4976" s="23"/>
      <c r="E4976" s="13"/>
      <c r="F4976" s="70" t="str">
        <f>CHAR(65+(COUNTIF(C$4974:C4975,"Show")/2))&amp;"."</f>
        <v>B.</v>
      </c>
      <c r="G4976" s="12" t="s">
        <v>3480</v>
      </c>
    </row>
    <row r="4977" spans="2:8" hidden="1" outlineLevel="1">
      <c r="B4977" s="76"/>
      <c r="C4977" s="9" t="str">
        <f>C4976</f>
        <v>Show</v>
      </c>
      <c r="D4977" s="23"/>
      <c r="E4977" s="13"/>
      <c r="G4977" s="78" t="s">
        <v>121</v>
      </c>
      <c r="H4977" s="75" t="s">
        <v>2901</v>
      </c>
    </row>
    <row r="4978" spans="2:8" hidden="1" outlineLevel="1">
      <c r="B4978" s="76"/>
      <c r="C4978" t="str">
        <f>$F$5985</f>
        <v>Show</v>
      </c>
      <c r="D4978" s="23"/>
      <c r="E4978" s="13"/>
      <c r="F4978" s="70" t="str">
        <f>CHAR(65+(COUNTIF(C$4974:C4977,"Show")/2))&amp;"."</f>
        <v>C.</v>
      </c>
      <c r="G4978" s="12" t="s">
        <v>3473</v>
      </c>
    </row>
    <row r="4979" spans="2:8" hidden="1" outlineLevel="1">
      <c r="B4979" s="76"/>
      <c r="C4979" s="9" t="str">
        <f>C4978</f>
        <v>Show</v>
      </c>
      <c r="D4979" s="23"/>
      <c r="E4979" s="13"/>
      <c r="G4979" s="78" t="s">
        <v>121</v>
      </c>
      <c r="H4979" s="75" t="s">
        <v>2880</v>
      </c>
    </row>
    <row r="4980" spans="2:8" hidden="1" outlineLevel="1">
      <c r="B4980" s="76"/>
      <c r="C4980" s="9" t="str">
        <f>C4955</f>
        <v>Show</v>
      </c>
    </row>
    <row r="4981" spans="2:8" collapsed="1">
      <c r="B4981" s="23"/>
      <c r="C4981" s="2" t="str">
        <f>C4982</f>
        <v>Show</v>
      </c>
      <c r="D4981" s="55" t="s">
        <v>1725</v>
      </c>
      <c r="E4981" s="55"/>
      <c r="F4981" s="57" t="s">
        <v>1722</v>
      </c>
      <c r="G4981" s="53"/>
      <c r="H4981" s="54"/>
    </row>
    <row r="4982" spans="2:8" hidden="1" outlineLevel="1">
      <c r="B4982" s="76"/>
      <c r="C4982" s="2" t="str">
        <f>IF((COUNTIF(C4986:C4992,"Show")+COUNTIF(C4995:C4998,"Show")+COUNTIF(C5001:C5004,"Show"))&gt;0,"Show","Hide")</f>
        <v>Show</v>
      </c>
      <c r="D4982" s="23" t="s">
        <v>117</v>
      </c>
      <c r="E4982" s="13"/>
      <c r="G4982" s="13"/>
    </row>
    <row r="4983" spans="2:8" hidden="1" outlineLevel="1">
      <c r="B4983" s="76"/>
      <c r="C4983" s="9" t="str">
        <f>C4982</f>
        <v>Show</v>
      </c>
      <c r="D4983" s="23"/>
      <c r="E4983" s="13">
        <v>1.1000000000000001</v>
      </c>
      <c r="F4983" s="11" t="s">
        <v>118</v>
      </c>
      <c r="G4983" s="13"/>
    </row>
    <row r="4984" spans="2:8" hidden="1" outlineLevel="1">
      <c r="B4984" s="76"/>
      <c r="C4984" s="9" t="str">
        <f>C4983</f>
        <v>Show</v>
      </c>
      <c r="D4984" s="23"/>
      <c r="E4984" s="13"/>
      <c r="F4984" s="70" t="s">
        <v>119</v>
      </c>
      <c r="G4984" s="18" t="s">
        <v>677</v>
      </c>
    </row>
    <row r="4985" spans="2:8" hidden="1" outlineLevel="1">
      <c r="B4985" s="76"/>
      <c r="C4985" s="9" t="str">
        <f>C4984</f>
        <v>Show</v>
      </c>
      <c r="D4985" s="23"/>
      <c r="E4985" s="13"/>
      <c r="F4985" s="70"/>
      <c r="G4985" s="78" t="s">
        <v>121</v>
      </c>
      <c r="H4985" s="79" t="s">
        <v>2301</v>
      </c>
    </row>
    <row r="4986" spans="2:8" hidden="1" outlineLevel="1">
      <c r="B4986" s="76"/>
      <c r="C4986" s="9" t="str">
        <f>IF(COUNTIF(C4987:C4992,"Show")&gt;0,"Show","Hide")</f>
        <v>Show</v>
      </c>
      <c r="D4986" s="23"/>
      <c r="E4986" s="13">
        <v>1.2</v>
      </c>
      <c r="F4986" s="71" t="s">
        <v>131</v>
      </c>
      <c r="G4986" s="78"/>
    </row>
    <row r="4987" spans="2:8" hidden="1" outlineLevel="1">
      <c r="B4987" s="76"/>
      <c r="C4987" t="str">
        <f>$D$5968</f>
        <v>Show</v>
      </c>
      <c r="D4987" s="23"/>
      <c r="E4987" s="13"/>
      <c r="F4987" s="70" t="s">
        <v>119</v>
      </c>
      <c r="G4987" s="12" t="s">
        <v>3481</v>
      </c>
    </row>
    <row r="4988" spans="2:8" hidden="1" outlineLevel="1">
      <c r="B4988" s="76"/>
      <c r="C4988" s="9" t="str">
        <f>C4987</f>
        <v>Show</v>
      </c>
      <c r="D4988" s="23"/>
      <c r="E4988" s="13"/>
      <c r="F4988" s="70"/>
      <c r="G4988" s="78" t="s">
        <v>121</v>
      </c>
      <c r="H4988" s="75" t="s">
        <v>2902</v>
      </c>
    </row>
    <row r="4989" spans="2:8" hidden="1" outlineLevel="1">
      <c r="B4989" s="76"/>
      <c r="C4989" t="str">
        <f>$D$5969</f>
        <v>Show</v>
      </c>
      <c r="D4989" s="23"/>
      <c r="E4989" s="13"/>
      <c r="F4989" s="70" t="str">
        <f>CHAR(65+(COUNTIF(C$4987:C4988,"Show")/2))&amp;"."</f>
        <v>B.</v>
      </c>
      <c r="G4989" s="12" t="s">
        <v>3482</v>
      </c>
    </row>
    <row r="4990" spans="2:8" hidden="1" outlineLevel="1">
      <c r="B4990" s="76"/>
      <c r="C4990" s="9" t="str">
        <f>C4989</f>
        <v>Show</v>
      </c>
      <c r="D4990" s="23"/>
      <c r="E4990" s="13"/>
      <c r="F4990" s="70"/>
      <c r="G4990" s="78" t="s">
        <v>121</v>
      </c>
      <c r="H4990" s="75" t="s">
        <v>2904</v>
      </c>
    </row>
    <row r="4991" spans="2:8" hidden="1" outlineLevel="1">
      <c r="B4991" s="76"/>
      <c r="C4991" t="str">
        <f>$D$5971</f>
        <v>Show</v>
      </c>
      <c r="D4991" s="23"/>
      <c r="E4991" s="13"/>
      <c r="F4991" s="70" t="str">
        <f>CHAR(65+(COUNTIF(C$4987:C4990,"Show")/2))&amp;"."</f>
        <v>C.</v>
      </c>
      <c r="G4991" s="12" t="s">
        <v>3480</v>
      </c>
    </row>
    <row r="4992" spans="2:8" hidden="1" outlineLevel="1">
      <c r="B4992" s="76"/>
      <c r="C4992" s="9" t="str">
        <f>C4991</f>
        <v>Show</v>
      </c>
      <c r="D4992" s="23"/>
      <c r="E4992" s="13"/>
      <c r="F4992" s="70"/>
      <c r="G4992" s="78" t="s">
        <v>121</v>
      </c>
      <c r="H4992" s="75" t="s">
        <v>2900</v>
      </c>
    </row>
    <row r="4993" spans="2:8" hidden="1" outlineLevel="1">
      <c r="B4993" s="76"/>
      <c r="C4993" s="9" t="str">
        <f>C4982</f>
        <v>Show</v>
      </c>
      <c r="D4993" s="23" t="s">
        <v>613</v>
      </c>
      <c r="E4993" s="13"/>
      <c r="G4993" s="13"/>
    </row>
    <row r="4994" spans="2:8" hidden="1" outlineLevel="1">
      <c r="B4994" s="76"/>
      <c r="C4994" s="9" t="str">
        <f>C4982</f>
        <v>Show</v>
      </c>
      <c r="D4994" s="23"/>
      <c r="E4994" s="12" t="str">
        <f>IF(COUNTIF(C4995:C4998,"Show")&gt;0,"2.1 Product Requirements","No EGC Requirements")</f>
        <v>2.1 Product Requirements</v>
      </c>
      <c r="G4994" s="13"/>
    </row>
    <row r="4995" spans="2:8" hidden="1" outlineLevel="1">
      <c r="B4995" s="76"/>
      <c r="C4995" t="str">
        <f>$E$5968</f>
        <v>Show</v>
      </c>
      <c r="D4995" s="23"/>
      <c r="E4995" s="12"/>
      <c r="F4995" s="70" t="s">
        <v>119</v>
      </c>
      <c r="G4995" s="12" t="s">
        <v>3481</v>
      </c>
    </row>
    <row r="4996" spans="2:8" hidden="1" outlineLevel="1">
      <c r="B4996" s="76"/>
      <c r="C4996" s="9" t="str">
        <f>C4995</f>
        <v>Show</v>
      </c>
      <c r="D4996" s="23"/>
      <c r="E4996" s="12"/>
      <c r="G4996" s="30" t="s">
        <v>121</v>
      </c>
      <c r="H4996" s="75" t="s">
        <v>2903</v>
      </c>
    </row>
    <row r="4997" spans="2:8" hidden="1" outlineLevel="1">
      <c r="B4997" s="76"/>
      <c r="C4997" t="str">
        <f>$E$5969</f>
        <v>Show</v>
      </c>
      <c r="D4997" s="23"/>
      <c r="E4997" s="12"/>
      <c r="F4997" s="70" t="str">
        <f>CHAR(65+(COUNTIF(C$4995:C4996,"Show")/2))&amp;"."</f>
        <v>B.</v>
      </c>
      <c r="G4997" s="12" t="s">
        <v>3482</v>
      </c>
    </row>
    <row r="4998" spans="2:8" hidden="1" outlineLevel="1">
      <c r="B4998" s="76"/>
      <c r="C4998" s="9" t="str">
        <f>C4997</f>
        <v>Show</v>
      </c>
      <c r="D4998" s="23"/>
      <c r="E4998" s="12"/>
      <c r="G4998" s="78" t="s">
        <v>121</v>
      </c>
      <c r="H4998" s="75" t="s">
        <v>2906</v>
      </c>
    </row>
    <row r="4999" spans="2:8" hidden="1" outlineLevel="1">
      <c r="B4999" s="76"/>
      <c r="C4999" s="9" t="str">
        <f>C4982</f>
        <v>Show</v>
      </c>
      <c r="D4999" s="23" t="s">
        <v>187</v>
      </c>
      <c r="E4999" s="13"/>
      <c r="G4999" s="13"/>
    </row>
    <row r="5000" spans="2:8" hidden="1" outlineLevel="1">
      <c r="B5000" s="76"/>
      <c r="C5000" s="9" t="str">
        <f>C4982</f>
        <v>Show</v>
      </c>
      <c r="D5000" s="23"/>
      <c r="E5000" s="12" t="str">
        <f>IF(COUNTIF(C5001:C5004,"Show")&gt;0,"3.1 Execution Requirements","No EGC Requirements")</f>
        <v>3.1 Execution Requirements</v>
      </c>
      <c r="G5000" s="13"/>
    </row>
    <row r="5001" spans="2:8" hidden="1" outlineLevel="1">
      <c r="B5001" s="76"/>
      <c r="C5001" t="str">
        <f>$F$5969</f>
        <v>Show</v>
      </c>
      <c r="D5001" s="23"/>
      <c r="E5001" s="13"/>
      <c r="F5001" s="70" t="s">
        <v>119</v>
      </c>
      <c r="G5001" s="12" t="s">
        <v>3482</v>
      </c>
    </row>
    <row r="5002" spans="2:8" hidden="1" outlineLevel="1">
      <c r="B5002" s="76"/>
      <c r="C5002" s="9" t="str">
        <f>C5001</f>
        <v>Show</v>
      </c>
      <c r="D5002" s="23"/>
      <c r="E5002" s="13"/>
      <c r="G5002" s="78" t="s">
        <v>121</v>
      </c>
      <c r="H5002" s="75" t="s">
        <v>2905</v>
      </c>
    </row>
    <row r="5003" spans="2:8" hidden="1" outlineLevel="1">
      <c r="B5003" s="76"/>
      <c r="C5003" t="str">
        <f>$F$5971</f>
        <v>Show</v>
      </c>
      <c r="D5003" s="23"/>
      <c r="E5003" s="13"/>
      <c r="F5003" s="70" t="str">
        <f>CHAR(65+(COUNTIF(C$5001:C5002,"Show")/2))&amp;"."</f>
        <v>B.</v>
      </c>
      <c r="G5003" s="12" t="s">
        <v>3480</v>
      </c>
    </row>
    <row r="5004" spans="2:8" hidden="1" outlineLevel="1">
      <c r="B5004" s="76"/>
      <c r="C5004" s="9" t="str">
        <f>C5003</f>
        <v>Show</v>
      </c>
      <c r="D5004" s="23"/>
      <c r="E5004" s="13"/>
      <c r="G5004" s="78" t="s">
        <v>121</v>
      </c>
      <c r="H5004" s="75" t="s">
        <v>2901</v>
      </c>
    </row>
    <row r="5005" spans="2:8" hidden="1" outlineLevel="1">
      <c r="B5005" s="76"/>
      <c r="C5005" s="9" t="str">
        <f>C4982</f>
        <v>Show</v>
      </c>
    </row>
    <row r="5006" spans="2:8" collapsed="1">
      <c r="B5006" s="23"/>
      <c r="C5006" s="2" t="str">
        <f>C5007</f>
        <v>Show</v>
      </c>
      <c r="D5006" s="60" t="s">
        <v>581</v>
      </c>
      <c r="E5006" s="55"/>
      <c r="F5006" s="56" t="s">
        <v>330</v>
      </c>
      <c r="G5006" s="53"/>
      <c r="H5006" s="54"/>
    </row>
    <row r="5007" spans="2:8" hidden="1" outlineLevel="1">
      <c r="B5007" s="76"/>
      <c r="C5007" s="2" t="str">
        <f>IF((COUNTIF(C5011:C5017,"Show")+COUNTIF(C5020:C5025,"Show")+COUNTIF(C5028:C5031,"Show"))&gt;0,"Show","Hide")</f>
        <v>Show</v>
      </c>
      <c r="D5007" s="23" t="s">
        <v>117</v>
      </c>
      <c r="E5007" s="13"/>
      <c r="G5007" s="13"/>
    </row>
    <row r="5008" spans="2:8" hidden="1" outlineLevel="1">
      <c r="B5008" s="76"/>
      <c r="C5008" s="9" t="str">
        <f>C5007</f>
        <v>Show</v>
      </c>
      <c r="D5008" s="23"/>
      <c r="E5008" s="13">
        <v>1.1000000000000001</v>
      </c>
      <c r="F5008" s="11" t="s">
        <v>118</v>
      </c>
      <c r="G5008" s="13"/>
    </row>
    <row r="5009" spans="2:8" hidden="1" outlineLevel="1">
      <c r="B5009" s="76"/>
      <c r="C5009" s="9" t="str">
        <f>C5008</f>
        <v>Show</v>
      </c>
      <c r="D5009" s="23"/>
      <c r="E5009" s="13"/>
      <c r="F5009" s="70" t="s">
        <v>119</v>
      </c>
      <c r="G5009" s="18" t="s">
        <v>677</v>
      </c>
    </row>
    <row r="5010" spans="2:8" hidden="1" outlineLevel="1">
      <c r="B5010" s="76"/>
      <c r="C5010" s="9" t="str">
        <f>C5009</f>
        <v>Show</v>
      </c>
      <c r="D5010" s="23"/>
      <c r="E5010" s="13"/>
      <c r="F5010" s="70"/>
      <c r="G5010" s="78" t="s">
        <v>121</v>
      </c>
      <c r="H5010" s="79" t="s">
        <v>2301</v>
      </c>
    </row>
    <row r="5011" spans="2:8" hidden="1" outlineLevel="1">
      <c r="B5011" s="76"/>
      <c r="C5011" s="9" t="str">
        <f>IF(COUNTIF(C5012:C5017,"Show")&gt;0,"Show","Hide")</f>
        <v>Show</v>
      </c>
      <c r="D5011" s="23"/>
      <c r="E5011" s="13">
        <v>1.2</v>
      </c>
      <c r="F5011" s="71" t="s">
        <v>131</v>
      </c>
      <c r="G5011" s="78"/>
    </row>
    <row r="5012" spans="2:8" hidden="1" outlineLevel="1">
      <c r="B5012" s="76"/>
      <c r="C5012" t="str">
        <f>$D$5947</f>
        <v>Show</v>
      </c>
      <c r="D5012" s="23"/>
      <c r="E5012" s="13"/>
      <c r="F5012" s="70" t="s">
        <v>119</v>
      </c>
      <c r="G5012" s="12" t="s">
        <v>3483</v>
      </c>
    </row>
    <row r="5013" spans="2:8" hidden="1" outlineLevel="1">
      <c r="B5013" s="76"/>
      <c r="C5013" s="9" t="str">
        <f>C5012</f>
        <v>Show</v>
      </c>
      <c r="D5013" s="23"/>
      <c r="E5013" s="13"/>
      <c r="F5013" s="70"/>
      <c r="G5013" s="78" t="s">
        <v>121</v>
      </c>
      <c r="H5013" s="75" t="s">
        <v>2907</v>
      </c>
    </row>
    <row r="5014" spans="2:8" hidden="1" outlineLevel="1">
      <c r="B5014" s="76"/>
      <c r="C5014" t="str">
        <f>$D$5993</f>
        <v>Show</v>
      </c>
      <c r="D5014" s="23"/>
      <c r="E5014" s="13"/>
      <c r="F5014" s="70" t="str">
        <f>CHAR(65+(COUNTIF(C$5012:C5013,"Show")/2))&amp;"."</f>
        <v>B.</v>
      </c>
      <c r="G5014" s="109" t="s">
        <v>3437</v>
      </c>
    </row>
    <row r="5015" spans="2:8" ht="30" hidden="1" outlineLevel="1">
      <c r="B5015" s="76"/>
      <c r="C5015" s="9" t="str">
        <f>C5014</f>
        <v>Show</v>
      </c>
      <c r="D5015" s="23"/>
      <c r="E5015" s="13"/>
      <c r="F5015" s="70"/>
      <c r="G5015" s="78" t="s">
        <v>121</v>
      </c>
      <c r="H5015" s="75" t="s">
        <v>2908</v>
      </c>
    </row>
    <row r="5016" spans="2:8" hidden="1" outlineLevel="1">
      <c r="B5016" s="76"/>
      <c r="C5016" t="str">
        <f>$D$5994</f>
        <v>Show</v>
      </c>
      <c r="D5016" s="23"/>
      <c r="E5016" s="13"/>
      <c r="F5016" s="70" t="str">
        <f>CHAR(65+(COUNTIF(C$5012:C5015,"Show")/2))&amp;"."</f>
        <v>C.</v>
      </c>
      <c r="G5016" s="109" t="s">
        <v>3459</v>
      </c>
    </row>
    <row r="5017" spans="2:8" hidden="1" outlineLevel="1">
      <c r="B5017" s="76"/>
      <c r="C5017" s="9" t="str">
        <f>C5016</f>
        <v>Show</v>
      </c>
      <c r="D5017" s="23"/>
      <c r="E5017" s="13"/>
      <c r="F5017" s="70"/>
      <c r="G5017" s="78" t="s">
        <v>121</v>
      </c>
      <c r="H5017" s="75" t="s">
        <v>2810</v>
      </c>
    </row>
    <row r="5018" spans="2:8" hidden="1" outlineLevel="1">
      <c r="B5018" s="76"/>
      <c r="C5018" s="9" t="str">
        <f>C5007</f>
        <v>Show</v>
      </c>
      <c r="D5018" s="23" t="s">
        <v>613</v>
      </c>
      <c r="E5018" s="13"/>
      <c r="G5018" s="13"/>
    </row>
    <row r="5019" spans="2:8" hidden="1" outlineLevel="1">
      <c r="B5019" s="76"/>
      <c r="C5019" s="9" t="str">
        <f>C5007</f>
        <v>Show</v>
      </c>
      <c r="D5019" s="23"/>
      <c r="E5019" s="12" t="str">
        <f>IF(COUNTIF(C5020:C5025,"Show")&gt;0,"2.1 Product Requirements","No EGC Requirements")</f>
        <v>2.1 Product Requirements</v>
      </c>
      <c r="G5019" s="13"/>
    </row>
    <row r="5020" spans="2:8" hidden="1" outlineLevel="1">
      <c r="B5020" s="76"/>
      <c r="C5020" t="str">
        <f>$E$5947</f>
        <v>Show</v>
      </c>
      <c r="D5020" s="23"/>
      <c r="E5020" s="12"/>
      <c r="F5020" s="70" t="s">
        <v>119</v>
      </c>
      <c r="G5020" s="12" t="s">
        <v>3483</v>
      </c>
    </row>
    <row r="5021" spans="2:8" hidden="1" outlineLevel="1">
      <c r="B5021" s="76"/>
      <c r="C5021" s="9" t="str">
        <f>C5020</f>
        <v>Show</v>
      </c>
      <c r="D5021" s="23"/>
      <c r="E5021" s="12"/>
      <c r="G5021" s="78" t="s">
        <v>121</v>
      </c>
      <c r="H5021" s="75" t="s">
        <v>2909</v>
      </c>
    </row>
    <row r="5022" spans="2:8" hidden="1" outlineLevel="1">
      <c r="B5022" s="76"/>
      <c r="C5022" t="str">
        <f>C5023</f>
        <v>Show</v>
      </c>
      <c r="D5022" s="23"/>
      <c r="E5022" s="12"/>
      <c r="F5022" s="70" t="str">
        <f>CHAR(65+(COUNTIF(C$5020:C5021,"Show")/2))&amp;"."</f>
        <v>B.</v>
      </c>
      <c r="G5022" s="109" t="s">
        <v>3437</v>
      </c>
    </row>
    <row r="5023" spans="2:8" ht="30" hidden="1" outlineLevel="1">
      <c r="B5023" s="76"/>
      <c r="C5023" t="str">
        <f>$E$5993</f>
        <v>Show</v>
      </c>
      <c r="D5023" s="23"/>
      <c r="E5023" s="12"/>
      <c r="G5023" s="78" t="s">
        <v>121</v>
      </c>
      <c r="H5023" s="75" t="s">
        <v>2912</v>
      </c>
    </row>
    <row r="5024" spans="2:8" hidden="1" outlineLevel="1">
      <c r="B5024" s="76"/>
      <c r="C5024" t="str">
        <f>$E$5994</f>
        <v>Show</v>
      </c>
      <c r="D5024" s="23"/>
      <c r="E5024" s="12"/>
      <c r="F5024" s="70" t="str">
        <f>CHAR(65+(COUNTIF(C$5020:C5023,"Show")/2))&amp;"."</f>
        <v>C.</v>
      </c>
      <c r="G5024" s="109" t="s">
        <v>3459</v>
      </c>
    </row>
    <row r="5025" spans="2:8" hidden="1" outlineLevel="1">
      <c r="B5025" s="76"/>
      <c r="C5025" s="9" t="str">
        <f>C5024</f>
        <v>Show</v>
      </c>
      <c r="D5025" s="23"/>
      <c r="E5025" s="12"/>
      <c r="G5025" s="30" t="s">
        <v>121</v>
      </c>
      <c r="H5025" s="75" t="s">
        <v>2809</v>
      </c>
    </row>
    <row r="5026" spans="2:8" hidden="1" outlineLevel="1">
      <c r="B5026" s="76"/>
      <c r="C5026" s="9" t="str">
        <f>C5007</f>
        <v>Show</v>
      </c>
      <c r="D5026" s="23" t="s">
        <v>187</v>
      </c>
      <c r="E5026" s="13"/>
      <c r="G5026" s="13"/>
    </row>
    <row r="5027" spans="2:8" hidden="1" outlineLevel="1">
      <c r="B5027" s="76"/>
      <c r="C5027" s="9" t="str">
        <f>C5007</f>
        <v>Show</v>
      </c>
      <c r="D5027" s="23"/>
      <c r="E5027" s="12" t="str">
        <f>IF(COUNTIF(C5028:C5031,"Show")&gt;0,"3.1 Execution Requirements","No EGC Requirements")</f>
        <v>3.1 Execution Requirements</v>
      </c>
      <c r="G5027" s="13"/>
    </row>
    <row r="5028" spans="2:8" hidden="1" outlineLevel="1">
      <c r="B5028" s="76"/>
      <c r="C5028" t="str">
        <f>$F$5947</f>
        <v>Show</v>
      </c>
      <c r="D5028" s="23"/>
      <c r="E5028" s="12"/>
      <c r="F5028" s="70" t="s">
        <v>119</v>
      </c>
      <c r="G5028" s="12" t="s">
        <v>3483</v>
      </c>
    </row>
    <row r="5029" spans="2:8" hidden="1" outlineLevel="1">
      <c r="B5029" s="76"/>
      <c r="C5029" s="9" t="str">
        <f>C5028</f>
        <v>Show</v>
      </c>
      <c r="D5029" s="23"/>
      <c r="E5029" s="12"/>
      <c r="G5029" s="78" t="s">
        <v>121</v>
      </c>
      <c r="H5029" s="75" t="s">
        <v>2910</v>
      </c>
    </row>
    <row r="5030" spans="2:8" hidden="1" outlineLevel="1">
      <c r="B5030" s="76"/>
      <c r="C5030" t="str">
        <f>$F$5993</f>
        <v>Show</v>
      </c>
      <c r="D5030" s="23"/>
      <c r="E5030" s="13"/>
      <c r="F5030" s="70" t="str">
        <f>CHAR(65+(COUNTIF(C$5028:C5029,"Show")/2))&amp;"."</f>
        <v>B.</v>
      </c>
      <c r="G5030" s="109" t="s">
        <v>3437</v>
      </c>
    </row>
    <row r="5031" spans="2:8" ht="30" hidden="1" outlineLevel="1">
      <c r="B5031" s="76"/>
      <c r="C5031" s="9" t="str">
        <f>C5030</f>
        <v>Show</v>
      </c>
      <c r="D5031" s="23"/>
      <c r="E5031" s="13"/>
      <c r="G5031" s="78" t="s">
        <v>121</v>
      </c>
      <c r="H5031" s="75" t="s">
        <v>2911</v>
      </c>
    </row>
    <row r="5032" spans="2:8" hidden="1" outlineLevel="1">
      <c r="B5032" s="76"/>
      <c r="C5032" s="9" t="str">
        <f>C5007</f>
        <v>Show</v>
      </c>
    </row>
    <row r="5033" spans="2:8" collapsed="1">
      <c r="B5033" s="23"/>
      <c r="C5033" s="2" t="str">
        <f>C5034</f>
        <v>Show</v>
      </c>
      <c r="D5033" s="55" t="s">
        <v>1729</v>
      </c>
      <c r="E5033" s="55"/>
      <c r="F5033" s="57" t="s">
        <v>1726</v>
      </c>
      <c r="G5033" s="53"/>
      <c r="H5033" s="54"/>
    </row>
    <row r="5034" spans="2:8" hidden="1" outlineLevel="1">
      <c r="B5034" s="76"/>
      <c r="C5034" s="2" t="str">
        <f>IF((COUNTIF(C5038:C5044,"Show")+COUNTIF(C5047:C5050,"Show")+COUNTIF(C5053:C5058,"Show"))&gt;0,"Show","Hide")</f>
        <v>Show</v>
      </c>
      <c r="D5034" s="23" t="s">
        <v>117</v>
      </c>
      <c r="E5034" s="13"/>
      <c r="G5034" s="13"/>
    </row>
    <row r="5035" spans="2:8" hidden="1" outlineLevel="1">
      <c r="B5035" s="76"/>
      <c r="C5035" s="9" t="str">
        <f>C5034</f>
        <v>Show</v>
      </c>
      <c r="D5035" s="23"/>
      <c r="E5035" s="13">
        <v>1.1000000000000001</v>
      </c>
      <c r="F5035" s="11" t="s">
        <v>118</v>
      </c>
      <c r="G5035" s="13"/>
    </row>
    <row r="5036" spans="2:8" hidden="1" outlineLevel="1">
      <c r="B5036" s="76"/>
      <c r="C5036" s="9" t="str">
        <f>C5035</f>
        <v>Show</v>
      </c>
      <c r="D5036" s="23"/>
      <c r="E5036" s="13"/>
      <c r="F5036" s="70" t="s">
        <v>119</v>
      </c>
      <c r="G5036" s="18" t="s">
        <v>677</v>
      </c>
    </row>
    <row r="5037" spans="2:8" hidden="1" outlineLevel="1">
      <c r="B5037" s="76"/>
      <c r="C5037" s="9" t="str">
        <f>C5036</f>
        <v>Show</v>
      </c>
      <c r="D5037" s="23"/>
      <c r="E5037" s="13"/>
      <c r="F5037" s="70"/>
      <c r="G5037" s="78" t="s">
        <v>121</v>
      </c>
      <c r="H5037" s="79" t="s">
        <v>2301</v>
      </c>
    </row>
    <row r="5038" spans="2:8" hidden="1" outlineLevel="1">
      <c r="B5038" s="76"/>
      <c r="C5038" s="9" t="str">
        <f>IF(COUNTIF(C5039:C5044,"Show")&gt;0,"Show","Hide")</f>
        <v>Show</v>
      </c>
      <c r="D5038" s="23"/>
      <c r="E5038" s="13">
        <v>1.2</v>
      </c>
      <c r="F5038" s="71" t="s">
        <v>131</v>
      </c>
      <c r="G5038" s="78"/>
    </row>
    <row r="5039" spans="2:8" hidden="1" outlineLevel="1">
      <c r="B5039" s="76"/>
      <c r="C5039" t="str">
        <f>$D$5954</f>
        <v>Show</v>
      </c>
      <c r="D5039" s="23"/>
      <c r="E5039" s="13"/>
      <c r="F5039" s="70" t="s">
        <v>119</v>
      </c>
      <c r="G5039" s="12" t="s">
        <v>3439</v>
      </c>
    </row>
    <row r="5040" spans="2:8" hidden="1" outlineLevel="1">
      <c r="B5040" s="76"/>
      <c r="C5040" s="9" t="str">
        <f>C5039</f>
        <v>Show</v>
      </c>
      <c r="D5040" s="23"/>
      <c r="E5040" s="13"/>
      <c r="F5040" s="71"/>
      <c r="G5040" s="78" t="s">
        <v>121</v>
      </c>
      <c r="H5040" s="75" t="s">
        <v>2547</v>
      </c>
    </row>
    <row r="5041" spans="2:8" hidden="1" outlineLevel="1">
      <c r="B5041" s="76"/>
      <c r="C5041" t="str">
        <f>$D$5967</f>
        <v>Show</v>
      </c>
      <c r="D5041" s="23"/>
      <c r="E5041" s="13"/>
      <c r="F5041" s="70" t="str">
        <f>CHAR(65+(COUNTIF(C$5039:C5040,"Show")/2))&amp;"."</f>
        <v>B.</v>
      </c>
      <c r="G5041" s="12" t="s">
        <v>3493</v>
      </c>
    </row>
    <row r="5042" spans="2:8" ht="30" hidden="1" outlineLevel="1">
      <c r="B5042" s="76"/>
      <c r="C5042" s="9" t="str">
        <f>C5041</f>
        <v>Show</v>
      </c>
      <c r="D5042" s="23"/>
      <c r="E5042" s="13"/>
      <c r="F5042" s="70"/>
      <c r="G5042" s="78" t="s">
        <v>121</v>
      </c>
      <c r="H5042" s="75" t="s">
        <v>2838</v>
      </c>
    </row>
    <row r="5043" spans="2:8" hidden="1" outlineLevel="1">
      <c r="B5043" s="76"/>
      <c r="C5043" t="str">
        <f>$D$5971</f>
        <v>Show</v>
      </c>
      <c r="D5043" s="23"/>
      <c r="E5043" s="13"/>
      <c r="F5043" s="70" t="str">
        <f>CHAR(65+(COUNTIF(C$5039:C5042,"Show")/2))&amp;"."</f>
        <v>C.</v>
      </c>
      <c r="G5043" s="12" t="s">
        <v>3480</v>
      </c>
    </row>
    <row r="5044" spans="2:8" hidden="1" outlineLevel="1">
      <c r="B5044" s="76"/>
      <c r="C5044" s="9" t="str">
        <f>C5043</f>
        <v>Show</v>
      </c>
      <c r="D5044" s="23"/>
      <c r="E5044" s="13"/>
      <c r="F5044" s="70"/>
      <c r="G5044" s="78" t="s">
        <v>121</v>
      </c>
      <c r="H5044" s="75" t="s">
        <v>2900</v>
      </c>
    </row>
    <row r="5045" spans="2:8" hidden="1" outlineLevel="1">
      <c r="B5045" s="76"/>
      <c r="C5045" s="9" t="str">
        <f>C5034</f>
        <v>Show</v>
      </c>
      <c r="D5045" s="23" t="s">
        <v>613</v>
      </c>
      <c r="E5045" s="13"/>
      <c r="G5045" s="13"/>
    </row>
    <row r="5046" spans="2:8" hidden="1" outlineLevel="1">
      <c r="B5046" s="76"/>
      <c r="C5046" s="9" t="str">
        <f>C5034</f>
        <v>Show</v>
      </c>
      <c r="D5046" s="23"/>
      <c r="E5046" s="12" t="str">
        <f>IF(COUNTIF(C5047:C5050,"Show")&gt;0,"2.1 Product Requirements","No EGC Requirements")</f>
        <v>2.1 Product Requirements</v>
      </c>
      <c r="G5046" s="13"/>
    </row>
    <row r="5047" spans="2:8" hidden="1" outlineLevel="1">
      <c r="B5047" s="76"/>
      <c r="C5047" t="str">
        <f>$E$5954</f>
        <v>Show</v>
      </c>
      <c r="D5047" s="23"/>
      <c r="E5047" s="12"/>
      <c r="F5047" s="70" t="s">
        <v>119</v>
      </c>
      <c r="G5047" s="12" t="s">
        <v>3439</v>
      </c>
    </row>
    <row r="5048" spans="2:8" hidden="1" outlineLevel="1">
      <c r="B5048" s="76"/>
      <c r="C5048" s="9" t="str">
        <f>C5047</f>
        <v>Show</v>
      </c>
      <c r="D5048" s="23"/>
      <c r="E5048" s="12"/>
      <c r="G5048" s="30" t="s">
        <v>121</v>
      </c>
      <c r="H5048" s="75" t="s">
        <v>2549</v>
      </c>
    </row>
    <row r="5049" spans="2:8" hidden="1" outlineLevel="1">
      <c r="B5049" s="76"/>
      <c r="C5049" t="str">
        <f>$E$5967</f>
        <v>Show</v>
      </c>
      <c r="D5049" s="23"/>
      <c r="E5049" s="12"/>
      <c r="F5049" s="70" t="str">
        <f>CHAR(65+(COUNTIF(C$5047:C5048,"Show")/2))&amp;"."</f>
        <v>B.</v>
      </c>
      <c r="G5049" s="12" t="s">
        <v>3493</v>
      </c>
    </row>
    <row r="5050" spans="2:8" hidden="1" outlineLevel="1">
      <c r="B5050" s="76"/>
      <c r="C5050" s="9" t="str">
        <f>C5049</f>
        <v>Show</v>
      </c>
      <c r="D5050" s="23"/>
      <c r="E5050" s="12"/>
      <c r="G5050" s="30" t="s">
        <v>121</v>
      </c>
      <c r="H5050" s="75" t="s">
        <v>2839</v>
      </c>
    </row>
    <row r="5051" spans="2:8" hidden="1" outlineLevel="1">
      <c r="B5051" s="76"/>
      <c r="C5051" s="9" t="str">
        <f>C5034</f>
        <v>Show</v>
      </c>
      <c r="D5051" s="23" t="s">
        <v>187</v>
      </c>
      <c r="E5051" s="13"/>
      <c r="G5051" s="13"/>
    </row>
    <row r="5052" spans="2:8" hidden="1" outlineLevel="1">
      <c r="B5052" s="76"/>
      <c r="C5052" s="9" t="str">
        <f>C5034</f>
        <v>Show</v>
      </c>
      <c r="D5052" s="23"/>
      <c r="E5052" s="12" t="str">
        <f>IF(COUNTIF(C5053:C5058,"Show")&gt;0,"3.1 Execution Requirements","No EGC Requirements")</f>
        <v>3.1 Execution Requirements</v>
      </c>
      <c r="G5052" s="13"/>
    </row>
    <row r="5053" spans="2:8" hidden="1" outlineLevel="1">
      <c r="B5053" s="76"/>
      <c r="C5053" t="str">
        <f>$F$5954</f>
        <v>Show</v>
      </c>
      <c r="D5053" s="23"/>
      <c r="E5053" s="12"/>
      <c r="F5053" s="70" t="s">
        <v>119</v>
      </c>
      <c r="G5053" s="12" t="s">
        <v>3439</v>
      </c>
    </row>
    <row r="5054" spans="2:8" ht="30" hidden="1" outlineLevel="1">
      <c r="B5054" s="76"/>
      <c r="C5054" s="9" t="str">
        <f>C5053</f>
        <v>Show</v>
      </c>
      <c r="D5054" s="23"/>
      <c r="E5054" s="12"/>
      <c r="G5054" s="30" t="s">
        <v>121</v>
      </c>
      <c r="H5054" s="75" t="s">
        <v>2551</v>
      </c>
    </row>
    <row r="5055" spans="2:8" hidden="1" outlineLevel="1">
      <c r="B5055" s="76"/>
      <c r="C5055" t="str">
        <f>$F$5967</f>
        <v>Show</v>
      </c>
      <c r="D5055" s="23"/>
      <c r="E5055" s="13"/>
      <c r="F5055" s="70" t="str">
        <f>CHAR(65+(COUNTIF(C$5053:C5054,"Show")/2))&amp;"."</f>
        <v>B.</v>
      </c>
      <c r="G5055" s="12" t="s">
        <v>3493</v>
      </c>
    </row>
    <row r="5056" spans="2:8" ht="30" hidden="1" outlineLevel="1">
      <c r="B5056" s="76"/>
      <c r="C5056" s="9" t="str">
        <f>C5055</f>
        <v>Show</v>
      </c>
      <c r="D5056" s="23"/>
      <c r="E5056" s="13"/>
      <c r="G5056" s="78" t="s">
        <v>121</v>
      </c>
      <c r="H5056" s="75" t="s">
        <v>2840</v>
      </c>
    </row>
    <row r="5057" spans="2:8" hidden="1" outlineLevel="1">
      <c r="B5057" s="76"/>
      <c r="C5057" t="str">
        <f>$F$5971</f>
        <v>Show</v>
      </c>
      <c r="D5057" s="23"/>
      <c r="E5057" s="13"/>
      <c r="F5057" s="70" t="str">
        <f>CHAR(65+(COUNTIF(C$5053:C5056,"Show")/2))&amp;"."</f>
        <v>C.</v>
      </c>
      <c r="G5057" s="12" t="s">
        <v>3480</v>
      </c>
    </row>
    <row r="5058" spans="2:8" hidden="1" outlineLevel="1">
      <c r="B5058" s="76"/>
      <c r="C5058" s="9" t="str">
        <f>C5057</f>
        <v>Show</v>
      </c>
      <c r="D5058" s="23"/>
      <c r="E5058" s="13"/>
      <c r="G5058" s="78" t="s">
        <v>121</v>
      </c>
      <c r="H5058" s="75" t="s">
        <v>2901</v>
      </c>
    </row>
    <row r="5059" spans="2:8" hidden="1" outlineLevel="1">
      <c r="B5059" s="76"/>
      <c r="C5059" s="9" t="str">
        <f>C5034</f>
        <v>Show</v>
      </c>
    </row>
    <row r="5060" spans="2:8" collapsed="1">
      <c r="B5060" s="23"/>
      <c r="C5060" s="2" t="str">
        <f>C5061</f>
        <v>Show</v>
      </c>
      <c r="D5060" s="55" t="s">
        <v>2002</v>
      </c>
      <c r="E5060" s="60"/>
      <c r="F5060" s="57" t="s">
        <v>2003</v>
      </c>
      <c r="G5060" s="53"/>
      <c r="H5060" s="54"/>
    </row>
    <row r="5061" spans="2:8" hidden="1" outlineLevel="1">
      <c r="B5061" s="76"/>
      <c r="C5061" s="2" t="str">
        <f>IF((COUNTIF(C5065:C5067,"Show")+COUNTIF(C5072:C5073,"Show"))&gt;0,"Show","Hide")</f>
        <v>Show</v>
      </c>
      <c r="D5061" s="23" t="s">
        <v>117</v>
      </c>
      <c r="E5061" s="13"/>
      <c r="G5061" s="13"/>
    </row>
    <row r="5062" spans="2:8" hidden="1" outlineLevel="1">
      <c r="B5062" s="76"/>
      <c r="C5062" s="9" t="str">
        <f>C5061</f>
        <v>Show</v>
      </c>
      <c r="D5062" s="23"/>
      <c r="E5062" s="13">
        <v>1.1000000000000001</v>
      </c>
      <c r="F5062" s="11" t="s">
        <v>118</v>
      </c>
      <c r="G5062" s="13"/>
    </row>
    <row r="5063" spans="2:8" hidden="1" outlineLevel="1">
      <c r="B5063" s="76"/>
      <c r="C5063" s="9" t="str">
        <f>C5062</f>
        <v>Show</v>
      </c>
      <c r="D5063" s="23"/>
      <c r="E5063" s="13"/>
      <c r="F5063" s="70" t="s">
        <v>119</v>
      </c>
      <c r="G5063" s="18" t="s">
        <v>677</v>
      </c>
    </row>
    <row r="5064" spans="2:8" hidden="1" outlineLevel="1">
      <c r="B5064" s="76"/>
      <c r="C5064" s="9" t="str">
        <f>C5063</f>
        <v>Show</v>
      </c>
      <c r="D5064" s="23"/>
      <c r="E5064" s="13"/>
      <c r="F5064" s="70"/>
      <c r="G5064" s="78" t="s">
        <v>121</v>
      </c>
      <c r="H5064" s="79" t="s">
        <v>2301</v>
      </c>
    </row>
    <row r="5065" spans="2:8" hidden="1" outlineLevel="1">
      <c r="B5065" s="76"/>
      <c r="C5065" s="9" t="str">
        <f>IF(COUNTIF(C5066:C5067,"Show")&gt;0,"Show","Hide")</f>
        <v>Show</v>
      </c>
      <c r="D5065" s="23"/>
      <c r="E5065" s="13">
        <v>1.2</v>
      </c>
      <c r="F5065" s="71" t="s">
        <v>131</v>
      </c>
      <c r="G5065" s="78"/>
    </row>
    <row r="5066" spans="2:8" hidden="1" outlineLevel="1">
      <c r="B5066" s="76"/>
      <c r="C5066" t="str">
        <f>$D$5971</f>
        <v>Show</v>
      </c>
      <c r="D5066" s="23"/>
      <c r="E5066" s="13"/>
      <c r="F5066" s="70" t="s">
        <v>119</v>
      </c>
      <c r="G5066" s="12" t="s">
        <v>3480</v>
      </c>
    </row>
    <row r="5067" spans="2:8" hidden="1" outlineLevel="1">
      <c r="B5067" s="76"/>
      <c r="C5067" s="9" t="str">
        <f>C5066</f>
        <v>Show</v>
      </c>
      <c r="D5067" s="23"/>
      <c r="E5067" s="13"/>
      <c r="F5067" s="70"/>
      <c r="G5067" s="78" t="s">
        <v>121</v>
      </c>
      <c r="H5067" s="75" t="s">
        <v>2900</v>
      </c>
    </row>
    <row r="5068" spans="2:8" hidden="1" outlineLevel="1">
      <c r="B5068" s="76"/>
      <c r="C5068" s="9" t="str">
        <f>C5061</f>
        <v>Show</v>
      </c>
      <c r="D5068" s="23" t="s">
        <v>613</v>
      </c>
      <c r="E5068" s="13"/>
      <c r="G5068" s="13"/>
    </row>
    <row r="5069" spans="2:8" hidden="1" outlineLevel="1">
      <c r="B5069" s="76"/>
      <c r="C5069" s="9" t="str">
        <f>C5061</f>
        <v>Show</v>
      </c>
      <c r="D5069" s="23"/>
      <c r="E5069" s="12" t="s">
        <v>2703</v>
      </c>
      <c r="G5069" s="13"/>
    </row>
    <row r="5070" spans="2:8" hidden="1" outlineLevel="1">
      <c r="B5070" s="76"/>
      <c r="C5070" s="9" t="str">
        <f>C5061</f>
        <v>Show</v>
      </c>
      <c r="D5070" s="23" t="s">
        <v>187</v>
      </c>
      <c r="E5070" s="13"/>
      <c r="G5070" s="13"/>
    </row>
    <row r="5071" spans="2:8" hidden="1" outlineLevel="1">
      <c r="B5071" s="76"/>
      <c r="C5071" s="9" t="str">
        <f>C5061</f>
        <v>Show</v>
      </c>
      <c r="D5071" s="23"/>
      <c r="E5071" s="12" t="str">
        <f>IF(COUNTIF(C5072:C5073,"Show")&gt;0,"3.1 Execution Requirements","No EGC Requirements")</f>
        <v>3.1 Execution Requirements</v>
      </c>
      <c r="G5071" s="13"/>
    </row>
    <row r="5072" spans="2:8" hidden="1" outlineLevel="1">
      <c r="B5072" s="76"/>
      <c r="C5072" t="str">
        <f>$F$5971</f>
        <v>Show</v>
      </c>
      <c r="D5072" s="23"/>
      <c r="E5072" s="13"/>
      <c r="F5072" s="70" t="s">
        <v>119</v>
      </c>
      <c r="G5072" s="12" t="s">
        <v>3480</v>
      </c>
    </row>
    <row r="5073" spans="2:8" hidden="1" outlineLevel="1">
      <c r="B5073" s="76"/>
      <c r="C5073" s="9" t="str">
        <f>C5072</f>
        <v>Show</v>
      </c>
      <c r="D5073" s="23"/>
      <c r="E5073" s="13"/>
      <c r="G5073" s="78" t="s">
        <v>121</v>
      </c>
      <c r="H5073" s="75" t="s">
        <v>2901</v>
      </c>
    </row>
    <row r="5074" spans="2:8" hidden="1" outlineLevel="1">
      <c r="B5074" s="76"/>
      <c r="C5074" s="9" t="str">
        <f>C5061</f>
        <v>Show</v>
      </c>
    </row>
    <row r="5075" spans="2:8" collapsed="1">
      <c r="B5075" s="23"/>
      <c r="C5075" s="2" t="str">
        <f>C5076</f>
        <v>Show</v>
      </c>
      <c r="D5075" s="55" t="s">
        <v>1730</v>
      </c>
      <c r="E5075" s="55"/>
      <c r="F5075" s="57" t="s">
        <v>1727</v>
      </c>
      <c r="G5075" s="53"/>
      <c r="H5075" s="54"/>
    </row>
    <row r="5076" spans="2:8" hidden="1" outlineLevel="1">
      <c r="B5076" s="76"/>
      <c r="C5076" s="2" t="str">
        <f>IF((COUNTIF(C5080:C5086,"Show")+COUNTIF(C5089:C5090,"Show")+COUNTIF(C5093:C5098,"Show"))&gt;0,"Show","Hide")</f>
        <v>Show</v>
      </c>
      <c r="D5076" s="23" t="s">
        <v>117</v>
      </c>
      <c r="E5076" s="13"/>
      <c r="G5076" s="13"/>
    </row>
    <row r="5077" spans="2:8" hidden="1" outlineLevel="1">
      <c r="B5077" s="76"/>
      <c r="C5077" s="9" t="str">
        <f>C5076</f>
        <v>Show</v>
      </c>
      <c r="D5077" s="23"/>
      <c r="E5077" s="13">
        <v>1.1000000000000001</v>
      </c>
      <c r="F5077" s="11" t="s">
        <v>118</v>
      </c>
      <c r="G5077" s="13"/>
    </row>
    <row r="5078" spans="2:8" hidden="1" outlineLevel="1">
      <c r="B5078" s="76"/>
      <c r="C5078" s="9" t="str">
        <f>C5077</f>
        <v>Show</v>
      </c>
      <c r="D5078" s="23"/>
      <c r="E5078" s="13"/>
      <c r="F5078" s="70" t="s">
        <v>119</v>
      </c>
      <c r="G5078" s="18" t="s">
        <v>677</v>
      </c>
    </row>
    <row r="5079" spans="2:8" hidden="1" outlineLevel="1">
      <c r="B5079" s="76"/>
      <c r="C5079" s="9" t="str">
        <f>C5078</f>
        <v>Show</v>
      </c>
      <c r="D5079" s="23"/>
      <c r="E5079" s="13"/>
      <c r="F5079" s="70"/>
      <c r="G5079" s="78" t="s">
        <v>121</v>
      </c>
      <c r="H5079" s="79" t="s">
        <v>2301</v>
      </c>
    </row>
    <row r="5080" spans="2:8" hidden="1" outlineLevel="1">
      <c r="B5080" s="76"/>
      <c r="C5080" s="9" t="str">
        <f>IF(COUNTIF(C5081:C5086,"Show")&gt;0,"Show","Hide")</f>
        <v>Show</v>
      </c>
      <c r="D5080" s="23"/>
      <c r="E5080" s="13">
        <v>1.2</v>
      </c>
      <c r="F5080" s="71" t="s">
        <v>131</v>
      </c>
      <c r="G5080" s="78"/>
    </row>
    <row r="5081" spans="2:8" hidden="1" outlineLevel="1">
      <c r="B5081" s="76"/>
      <c r="C5081" t="str">
        <f>$D$5971</f>
        <v>Show</v>
      </c>
      <c r="D5081" s="23"/>
      <c r="E5081" s="13"/>
      <c r="F5081" s="70" t="s">
        <v>119</v>
      </c>
      <c r="G5081" s="12" t="s">
        <v>3480</v>
      </c>
    </row>
    <row r="5082" spans="2:8" hidden="1" outlineLevel="1">
      <c r="B5082" s="76"/>
      <c r="C5082" s="9" t="str">
        <f>C5081</f>
        <v>Show</v>
      </c>
      <c r="D5082" s="23"/>
      <c r="E5082" s="13"/>
      <c r="F5082" s="70"/>
      <c r="G5082" s="78" t="s">
        <v>121</v>
      </c>
      <c r="H5082" s="75" t="s">
        <v>2900</v>
      </c>
    </row>
    <row r="5083" spans="2:8" ht="30" hidden="1" outlineLevel="1">
      <c r="B5083" s="76"/>
      <c r="C5083" t="str">
        <f>$D$5993</f>
        <v>Show</v>
      </c>
      <c r="D5083" s="23"/>
      <c r="E5083" s="13"/>
      <c r="F5083" s="70" t="str">
        <f>CHAR(65+(COUNTIF(C$5081:C5082,"Show")/2))&amp;"."</f>
        <v>B.</v>
      </c>
      <c r="H5083" s="13" t="s">
        <v>3437</v>
      </c>
    </row>
    <row r="5084" spans="2:8" ht="30" hidden="1" outlineLevel="1">
      <c r="B5084" s="76"/>
      <c r="C5084" s="9" t="str">
        <f>C5083</f>
        <v>Show</v>
      </c>
      <c r="D5084" s="23"/>
      <c r="E5084" s="13"/>
      <c r="F5084" s="70"/>
      <c r="G5084" s="78"/>
      <c r="H5084" s="75" t="s">
        <v>2908</v>
      </c>
    </row>
    <row r="5085" spans="2:8" hidden="1" outlineLevel="1">
      <c r="B5085" s="76"/>
      <c r="C5085" t="str">
        <f>$D$6002</f>
        <v>Show</v>
      </c>
      <c r="D5085" s="23"/>
      <c r="E5085" s="13"/>
      <c r="F5085" s="70" t="str">
        <f>CHAR(65+(COUNTIF(C$5081:C5084,"Show")/2))&amp;"."</f>
        <v>C.</v>
      </c>
      <c r="G5085" s="12" t="s">
        <v>3467</v>
      </c>
    </row>
    <row r="5086" spans="2:8" hidden="1" outlineLevel="1">
      <c r="B5086" s="76"/>
      <c r="C5086" s="9" t="str">
        <f>C5085</f>
        <v>Show</v>
      </c>
      <c r="D5086" s="23"/>
      <c r="E5086" s="13"/>
      <c r="F5086" s="70"/>
      <c r="G5086" s="78" t="s">
        <v>121</v>
      </c>
      <c r="H5086" s="75" t="s">
        <v>2860</v>
      </c>
    </row>
    <row r="5087" spans="2:8" hidden="1" outlineLevel="1">
      <c r="B5087" s="76"/>
      <c r="C5087" s="9" t="str">
        <f>C5076</f>
        <v>Show</v>
      </c>
      <c r="D5087" s="23" t="s">
        <v>613</v>
      </c>
      <c r="E5087" s="13"/>
      <c r="G5087" s="13"/>
    </row>
    <row r="5088" spans="2:8" hidden="1" outlineLevel="1">
      <c r="B5088" s="76"/>
      <c r="C5088" s="9" t="str">
        <f>C5076</f>
        <v>Show</v>
      </c>
      <c r="D5088" s="23"/>
      <c r="E5088" s="12" t="str">
        <f>IF(COUNTIF(C5089:C5090,"Show")&gt;0,"2.1 Product Requirements","No EGC Requirements")</f>
        <v>2.1 Product Requirements</v>
      </c>
      <c r="G5088" s="13"/>
    </row>
    <row r="5089" spans="2:8" ht="30" hidden="1" outlineLevel="1">
      <c r="B5089" s="76"/>
      <c r="C5089" t="str">
        <f>$E$5993</f>
        <v>Show</v>
      </c>
      <c r="D5089" s="23"/>
      <c r="E5089" s="12"/>
      <c r="F5089" s="70" t="s">
        <v>119</v>
      </c>
      <c r="H5089" s="13" t="s">
        <v>3437</v>
      </c>
    </row>
    <row r="5090" spans="2:8" ht="30" hidden="1" outlineLevel="1">
      <c r="B5090" s="76"/>
      <c r="C5090" s="9" t="str">
        <f>C5089</f>
        <v>Show</v>
      </c>
      <c r="D5090" s="23"/>
      <c r="E5090" s="12"/>
      <c r="G5090" s="30" t="s">
        <v>121</v>
      </c>
      <c r="H5090" s="75" t="s">
        <v>2912</v>
      </c>
    </row>
    <row r="5091" spans="2:8" hidden="1" outlineLevel="1">
      <c r="B5091" s="76"/>
      <c r="C5091" s="9" t="str">
        <f>C5076</f>
        <v>Show</v>
      </c>
      <c r="D5091" s="23" t="s">
        <v>187</v>
      </c>
      <c r="E5091" s="13"/>
      <c r="G5091" s="13"/>
    </row>
    <row r="5092" spans="2:8" hidden="1" outlineLevel="1">
      <c r="B5092" s="76"/>
      <c r="C5092" s="9" t="str">
        <f>C5076</f>
        <v>Show</v>
      </c>
      <c r="D5092" s="23"/>
      <c r="E5092" s="12" t="str">
        <f>IF(COUNTIF(C5093:C5098,"Show")&gt;0,"3.1 Execution Requirements","No EGC Requirements")</f>
        <v>3.1 Execution Requirements</v>
      </c>
      <c r="G5092" s="13"/>
    </row>
    <row r="5093" spans="2:8" hidden="1" outlineLevel="1">
      <c r="B5093" s="76"/>
      <c r="C5093" t="str">
        <f>$F$5971</f>
        <v>Show</v>
      </c>
      <c r="D5093" s="23"/>
      <c r="E5093" s="13"/>
      <c r="F5093" s="70" t="s">
        <v>119</v>
      </c>
      <c r="G5093" s="12" t="s">
        <v>3480</v>
      </c>
    </row>
    <row r="5094" spans="2:8" hidden="1" outlineLevel="1">
      <c r="B5094" s="76"/>
      <c r="C5094" s="9" t="str">
        <f>C5093</f>
        <v>Show</v>
      </c>
      <c r="D5094" s="23"/>
      <c r="E5094" s="13"/>
      <c r="G5094" s="78" t="s">
        <v>121</v>
      </c>
      <c r="H5094" s="75" t="s">
        <v>2901</v>
      </c>
    </row>
    <row r="5095" spans="2:8" ht="30" hidden="1" outlineLevel="1">
      <c r="B5095" s="76"/>
      <c r="C5095" t="str">
        <f>$F$5993</f>
        <v>Show</v>
      </c>
      <c r="D5095" s="23"/>
      <c r="E5095" s="13"/>
      <c r="F5095" s="70" t="str">
        <f>CHAR(65+(COUNTIF(C$5093:C5094,"Show")/2))&amp;"."</f>
        <v>B.</v>
      </c>
      <c r="H5095" s="13" t="s">
        <v>3437</v>
      </c>
    </row>
    <row r="5096" spans="2:8" ht="30" hidden="1" outlineLevel="1">
      <c r="B5096" s="76"/>
      <c r="C5096" s="9" t="str">
        <f>C5095</f>
        <v>Show</v>
      </c>
      <c r="D5096" s="23"/>
      <c r="E5096" s="13"/>
      <c r="G5096" s="78"/>
      <c r="H5096" s="75" t="s">
        <v>2911</v>
      </c>
    </row>
    <row r="5097" spans="2:8" hidden="1" outlineLevel="1">
      <c r="B5097" s="76"/>
      <c r="C5097" t="str">
        <f>$F$6002</f>
        <v>Show</v>
      </c>
      <c r="D5097" s="23"/>
      <c r="E5097" s="13"/>
      <c r="F5097" s="70" t="str">
        <f>CHAR(65+(COUNTIF(C$5093:C5096,"Show")/2))&amp;"."</f>
        <v>C.</v>
      </c>
      <c r="G5097" s="12" t="s">
        <v>3467</v>
      </c>
    </row>
    <row r="5098" spans="2:8" hidden="1" outlineLevel="1">
      <c r="B5098" s="76"/>
      <c r="C5098" s="9" t="str">
        <f>C5097</f>
        <v>Show</v>
      </c>
      <c r="D5098" s="23"/>
      <c r="E5098" s="13"/>
      <c r="G5098" s="78" t="s">
        <v>121</v>
      </c>
      <c r="H5098" s="75" t="s">
        <v>2861</v>
      </c>
    </row>
    <row r="5099" spans="2:8" hidden="1" outlineLevel="1">
      <c r="B5099" s="76"/>
      <c r="C5099" s="9" t="str">
        <f>C5076</f>
        <v>Show</v>
      </c>
    </row>
    <row r="5100" spans="2:8" collapsed="1">
      <c r="B5100" s="23"/>
      <c r="C5100" s="2" t="str">
        <f>C5101</f>
        <v>Show</v>
      </c>
      <c r="D5100" s="55" t="s">
        <v>1731</v>
      </c>
      <c r="E5100" s="55"/>
      <c r="F5100" s="57" t="s">
        <v>1728</v>
      </c>
      <c r="G5100" s="53"/>
      <c r="H5100" s="54"/>
    </row>
    <row r="5101" spans="2:8" hidden="1" outlineLevel="1">
      <c r="B5101" s="76"/>
      <c r="C5101" s="2" t="str">
        <f>IF((COUNTIF(C5105:C5113,"Show")+COUNTIF(C5116:C5121,"Show")+COUNTIF(C5124:C5131,"Show"))&gt;0,"Show","Hide")</f>
        <v>Show</v>
      </c>
      <c r="D5101" s="23" t="s">
        <v>117</v>
      </c>
      <c r="E5101" s="13"/>
      <c r="G5101" s="13"/>
    </row>
    <row r="5102" spans="2:8" hidden="1" outlineLevel="1">
      <c r="B5102" s="76"/>
      <c r="C5102" s="9" t="str">
        <f>C5101</f>
        <v>Show</v>
      </c>
      <c r="D5102" s="23"/>
      <c r="E5102" s="13">
        <v>1.1000000000000001</v>
      </c>
      <c r="F5102" s="11" t="s">
        <v>118</v>
      </c>
      <c r="G5102" s="13"/>
    </row>
    <row r="5103" spans="2:8" hidden="1" outlineLevel="1">
      <c r="B5103" s="76"/>
      <c r="C5103" s="9" t="str">
        <f>C5102</f>
        <v>Show</v>
      </c>
      <c r="D5103" s="23"/>
      <c r="E5103" s="13"/>
      <c r="F5103" s="70" t="s">
        <v>119</v>
      </c>
      <c r="G5103" s="18" t="s">
        <v>677</v>
      </c>
    </row>
    <row r="5104" spans="2:8" hidden="1" outlineLevel="1">
      <c r="B5104" s="76"/>
      <c r="C5104" s="9" t="str">
        <f>C5103</f>
        <v>Show</v>
      </c>
      <c r="D5104" s="23"/>
      <c r="E5104" s="13"/>
      <c r="F5104" s="70"/>
      <c r="G5104" s="78" t="s">
        <v>121</v>
      </c>
      <c r="H5104" s="79" t="s">
        <v>2301</v>
      </c>
    </row>
    <row r="5105" spans="2:8" hidden="1" outlineLevel="1">
      <c r="B5105" s="76"/>
      <c r="C5105" s="9" t="str">
        <f>IF(COUNTIF(C5106:C5113,"Show")&gt;0,"Show","Hide")</f>
        <v>Show</v>
      </c>
      <c r="D5105" s="23"/>
      <c r="E5105" s="13">
        <v>1.2</v>
      </c>
      <c r="F5105" s="71" t="s">
        <v>131</v>
      </c>
      <c r="G5105" s="78"/>
    </row>
    <row r="5106" spans="2:8" hidden="1" outlineLevel="1">
      <c r="B5106" s="76"/>
      <c r="C5106" t="str">
        <f>$D$5952</f>
        <v>Show</v>
      </c>
      <c r="D5106" s="23"/>
      <c r="E5106" s="13"/>
      <c r="F5106" s="70" t="s">
        <v>119</v>
      </c>
      <c r="G5106" s="12" t="s">
        <v>3452</v>
      </c>
    </row>
    <row r="5107" spans="2:8" hidden="1" outlineLevel="1">
      <c r="B5107" s="76"/>
      <c r="C5107" s="9" t="str">
        <f>C5106</f>
        <v>Show</v>
      </c>
      <c r="D5107" s="23"/>
      <c r="E5107" s="13"/>
      <c r="F5107" s="70"/>
      <c r="G5107" s="78" t="s">
        <v>121</v>
      </c>
      <c r="H5107" s="75" t="s">
        <v>2771</v>
      </c>
    </row>
    <row r="5108" spans="2:8" hidden="1" outlineLevel="1">
      <c r="B5108" s="76"/>
      <c r="C5108" t="str">
        <f>$D$5953</f>
        <v>Show</v>
      </c>
      <c r="D5108" s="23"/>
      <c r="E5108" s="13"/>
      <c r="F5108" s="70" t="str">
        <f>CHAR(65+(COUNTIF(C$5106:C5107,"Show")/2))&amp;"."</f>
        <v>B.</v>
      </c>
      <c r="G5108" s="12" t="s">
        <v>3438</v>
      </c>
    </row>
    <row r="5109" spans="2:8" hidden="1" outlineLevel="1">
      <c r="B5109" s="76"/>
      <c r="C5109" s="9" t="str">
        <f>C5108</f>
        <v>Show</v>
      </c>
      <c r="D5109" s="23"/>
      <c r="E5109" s="13"/>
      <c r="F5109" s="70"/>
      <c r="G5109" s="78" t="s">
        <v>121</v>
      </c>
      <c r="H5109" s="75" t="s">
        <v>2546</v>
      </c>
    </row>
    <row r="5110" spans="2:8" hidden="1" outlineLevel="1">
      <c r="B5110" s="76"/>
      <c r="C5110" t="str">
        <f>$D$5969</f>
        <v>Show</v>
      </c>
      <c r="D5110" s="23"/>
      <c r="E5110" s="13"/>
      <c r="F5110" s="70" t="str">
        <f>CHAR(65+(COUNTIF(C$5106:C5109,"Show")/2))&amp;"."</f>
        <v>C.</v>
      </c>
      <c r="G5110" s="12" t="s">
        <v>3482</v>
      </c>
    </row>
    <row r="5111" spans="2:8" hidden="1" outlineLevel="1">
      <c r="B5111" s="76"/>
      <c r="C5111" s="9" t="str">
        <f>C5110</f>
        <v>Show</v>
      </c>
      <c r="D5111" s="23"/>
      <c r="E5111" s="13"/>
      <c r="F5111" s="70"/>
      <c r="G5111" s="78" t="s">
        <v>121</v>
      </c>
      <c r="H5111" s="75" t="s">
        <v>2904</v>
      </c>
    </row>
    <row r="5112" spans="2:8" hidden="1" outlineLevel="1">
      <c r="B5112" s="76"/>
      <c r="C5112" t="str">
        <f>$D$5970</f>
        <v>Show</v>
      </c>
      <c r="D5112" s="23"/>
      <c r="E5112" s="13"/>
      <c r="F5112" s="70" t="str">
        <f>CHAR(65+(COUNTIF(C$5106:C5111,"Show")/2))&amp;"."</f>
        <v>D.</v>
      </c>
      <c r="G5112" s="12" t="s">
        <v>3484</v>
      </c>
    </row>
    <row r="5113" spans="2:8" hidden="1" outlineLevel="1">
      <c r="B5113" s="76"/>
      <c r="C5113" s="9" t="str">
        <f>C5112</f>
        <v>Show</v>
      </c>
      <c r="D5113" s="23"/>
      <c r="E5113" s="13"/>
      <c r="F5113" s="70"/>
      <c r="G5113" s="78" t="s">
        <v>121</v>
      </c>
      <c r="H5113" s="75" t="s">
        <v>2913</v>
      </c>
    </row>
    <row r="5114" spans="2:8" hidden="1" outlineLevel="1">
      <c r="B5114" s="76"/>
      <c r="C5114" s="9" t="str">
        <f>C5101</f>
        <v>Show</v>
      </c>
      <c r="D5114" s="23" t="s">
        <v>613</v>
      </c>
      <c r="E5114" s="13"/>
      <c r="G5114" s="13"/>
    </row>
    <row r="5115" spans="2:8" hidden="1" outlineLevel="1">
      <c r="B5115" s="76"/>
      <c r="C5115" s="9" t="str">
        <f>C5101</f>
        <v>Show</v>
      </c>
      <c r="D5115" s="23"/>
      <c r="E5115" s="12" t="str">
        <f>IF(COUNTIF(C5116:C5121,"Show")&gt;0,"2.1 Product Requirements","No EGC Requirements")</f>
        <v>2.1 Product Requirements</v>
      </c>
      <c r="G5115" s="13"/>
    </row>
    <row r="5116" spans="2:8" hidden="1" outlineLevel="1">
      <c r="B5116" s="76"/>
      <c r="C5116" t="str">
        <f>$E$5953</f>
        <v>Show</v>
      </c>
      <c r="D5116" s="23"/>
      <c r="E5116" s="12"/>
      <c r="F5116" s="70" t="s">
        <v>119</v>
      </c>
      <c r="G5116" s="12" t="s">
        <v>3438</v>
      </c>
    </row>
    <row r="5117" spans="2:8" hidden="1" outlineLevel="1">
      <c r="B5117" s="76"/>
      <c r="C5117" s="9" t="str">
        <f>C5116</f>
        <v>Show</v>
      </c>
      <c r="D5117" s="23"/>
      <c r="E5117" s="12"/>
      <c r="G5117" s="30" t="s">
        <v>121</v>
      </c>
      <c r="H5117" s="75" t="s">
        <v>2548</v>
      </c>
    </row>
    <row r="5118" spans="2:8" hidden="1" outlineLevel="1">
      <c r="B5118" s="76"/>
      <c r="C5118" t="str">
        <f>$E$5969</f>
        <v>Show</v>
      </c>
      <c r="D5118" s="23"/>
      <c r="E5118" s="12"/>
      <c r="F5118" s="70" t="str">
        <f>CHAR(65+(COUNTIF(C$5116:C5117,"Show")/2))&amp;"."</f>
        <v>B.</v>
      </c>
      <c r="G5118" s="12" t="s">
        <v>3482</v>
      </c>
    </row>
    <row r="5119" spans="2:8" hidden="1" outlineLevel="1">
      <c r="B5119" s="76"/>
      <c r="C5119" s="9" t="str">
        <f>C5118</f>
        <v>Show</v>
      </c>
      <c r="D5119" s="23"/>
      <c r="E5119" s="12"/>
      <c r="G5119" s="78" t="s">
        <v>121</v>
      </c>
      <c r="H5119" s="75" t="s">
        <v>2906</v>
      </c>
    </row>
    <row r="5120" spans="2:8" hidden="1" outlineLevel="1">
      <c r="B5120" s="76"/>
      <c r="C5120" t="str">
        <f>$E$5970</f>
        <v>Show</v>
      </c>
      <c r="D5120" s="23"/>
      <c r="E5120" s="12"/>
      <c r="F5120" s="70" t="str">
        <f>CHAR(65+(COUNTIF(C$5116:C5119,"Show")/2))&amp;"."</f>
        <v>C.</v>
      </c>
      <c r="G5120" s="12" t="s">
        <v>3484</v>
      </c>
    </row>
    <row r="5121" spans="2:8" hidden="1" outlineLevel="1">
      <c r="B5121" s="76"/>
      <c r="C5121" s="9" t="str">
        <f>C5120</f>
        <v>Show</v>
      </c>
      <c r="D5121" s="23"/>
      <c r="E5121" s="12"/>
      <c r="G5121" s="78" t="s">
        <v>121</v>
      </c>
      <c r="H5121" s="75" t="s">
        <v>2915</v>
      </c>
    </row>
    <row r="5122" spans="2:8" hidden="1" outlineLevel="1">
      <c r="B5122" s="76"/>
      <c r="C5122" s="9" t="str">
        <f>C5101</f>
        <v>Show</v>
      </c>
      <c r="D5122" s="23" t="s">
        <v>187</v>
      </c>
      <c r="E5122" s="13"/>
      <c r="G5122" s="13"/>
    </row>
    <row r="5123" spans="2:8" hidden="1" outlineLevel="1">
      <c r="B5123" s="76"/>
      <c r="C5123" s="9" t="str">
        <f>C5101</f>
        <v>Show</v>
      </c>
      <c r="D5123" s="23"/>
      <c r="E5123" s="12" t="str">
        <f>IF(COUNTIF(C5124:C5131,"Show")&gt;0,"3.1 Execution Requirements","No EGC Requirements")</f>
        <v>3.1 Execution Requirements</v>
      </c>
      <c r="G5123" s="13"/>
    </row>
    <row r="5124" spans="2:8" hidden="1" outlineLevel="1">
      <c r="B5124" s="76"/>
      <c r="C5124" t="str">
        <f>$F$5952</f>
        <v>Show</v>
      </c>
      <c r="D5124" s="23"/>
      <c r="E5124" s="12"/>
      <c r="F5124" s="70" t="s">
        <v>119</v>
      </c>
      <c r="G5124" s="12" t="s">
        <v>3452</v>
      </c>
    </row>
    <row r="5125" spans="2:8" hidden="1" outlineLevel="1">
      <c r="B5125" s="76"/>
      <c r="C5125" s="9" t="str">
        <f>C5124</f>
        <v>Show</v>
      </c>
      <c r="D5125" s="23"/>
      <c r="E5125" s="12"/>
      <c r="G5125" s="78" t="s">
        <v>121</v>
      </c>
      <c r="H5125" s="75" t="s">
        <v>2773</v>
      </c>
    </row>
    <row r="5126" spans="2:8" hidden="1" outlineLevel="1">
      <c r="B5126" s="76"/>
      <c r="C5126" t="str">
        <f>$F$5953</f>
        <v>Show</v>
      </c>
      <c r="D5126" s="23"/>
      <c r="E5126" s="12"/>
      <c r="F5126" s="70" t="str">
        <f>CHAR(65+(COUNTIF(C$5124:C5125,"Show")/2))&amp;"."</f>
        <v>B.</v>
      </c>
      <c r="G5126" s="12" t="s">
        <v>3438</v>
      </c>
    </row>
    <row r="5127" spans="2:8" hidden="1" outlineLevel="1">
      <c r="B5127" s="76"/>
      <c r="C5127" s="9" t="str">
        <f>C5126</f>
        <v>Show</v>
      </c>
      <c r="D5127" s="23"/>
      <c r="E5127" s="12"/>
      <c r="G5127" s="78" t="s">
        <v>121</v>
      </c>
      <c r="H5127" s="75" t="s">
        <v>2550</v>
      </c>
    </row>
    <row r="5128" spans="2:8" hidden="1" outlineLevel="1">
      <c r="B5128" s="76"/>
      <c r="C5128" t="str">
        <f>$F$5969</f>
        <v>Show</v>
      </c>
      <c r="D5128" s="23"/>
      <c r="E5128" s="13"/>
      <c r="F5128" s="70" t="str">
        <f>CHAR(65+(COUNTIF(C$5124:C5127,"Show")/2))&amp;"."</f>
        <v>C.</v>
      </c>
      <c r="G5128" s="12" t="s">
        <v>3482</v>
      </c>
    </row>
    <row r="5129" spans="2:8" hidden="1" outlineLevel="1">
      <c r="B5129" s="76"/>
      <c r="C5129" s="9" t="str">
        <f>C5128</f>
        <v>Show</v>
      </c>
      <c r="D5129" s="23"/>
      <c r="E5129" s="13"/>
      <c r="G5129" s="78" t="s">
        <v>121</v>
      </c>
      <c r="H5129" s="75" t="s">
        <v>2905</v>
      </c>
    </row>
    <row r="5130" spans="2:8" hidden="1" outlineLevel="1">
      <c r="B5130" s="76"/>
      <c r="C5130" t="str">
        <f>$F$5970</f>
        <v>Show</v>
      </c>
      <c r="D5130" s="23"/>
      <c r="E5130" s="13"/>
      <c r="F5130" s="70" t="str">
        <f>CHAR(65+(COUNTIF(C$5124:C5129,"Show")/2))&amp;"."</f>
        <v>D.</v>
      </c>
      <c r="G5130" s="12" t="s">
        <v>3484</v>
      </c>
    </row>
    <row r="5131" spans="2:8" hidden="1" outlineLevel="1">
      <c r="B5131" s="76"/>
      <c r="C5131" s="9" t="str">
        <f>C5130</f>
        <v>Show</v>
      </c>
      <c r="D5131" s="23"/>
      <c r="E5131" s="13"/>
      <c r="G5131" s="78" t="s">
        <v>121</v>
      </c>
      <c r="H5131" s="75" t="s">
        <v>2914</v>
      </c>
    </row>
    <row r="5132" spans="2:8" hidden="1" outlineLevel="1">
      <c r="B5132" s="76"/>
      <c r="C5132" s="9" t="str">
        <f>C5101</f>
        <v>Show</v>
      </c>
    </row>
    <row r="5133" spans="2:8" collapsed="1">
      <c r="B5133" s="23"/>
      <c r="C5133" s="2" t="str">
        <f>C5134</f>
        <v>Show</v>
      </c>
      <c r="D5133" s="55" t="s">
        <v>331</v>
      </c>
      <c r="E5133" s="55"/>
      <c r="F5133" s="57" t="s">
        <v>223</v>
      </c>
      <c r="G5133" s="53"/>
      <c r="H5133" s="54"/>
    </row>
    <row r="5134" spans="2:8" hidden="1" outlineLevel="1">
      <c r="B5134" s="76"/>
      <c r="C5134" s="2" t="str">
        <f>IF((COUNTIF(C5138:C5146,"Show")+COUNTIF(C5149:C5156,"Show")+COUNTIF(C5159:C5164,"Show"))&gt;0,"Show","Hide")</f>
        <v>Show</v>
      </c>
      <c r="D5134" s="23" t="s">
        <v>117</v>
      </c>
      <c r="E5134" s="13"/>
      <c r="G5134" s="13"/>
    </row>
    <row r="5135" spans="2:8" hidden="1" outlineLevel="1">
      <c r="B5135" s="76"/>
      <c r="C5135" s="9" t="str">
        <f>C5134</f>
        <v>Show</v>
      </c>
      <c r="D5135" s="23"/>
      <c r="E5135" s="13">
        <v>1.1000000000000001</v>
      </c>
      <c r="F5135" s="11" t="s">
        <v>118</v>
      </c>
      <c r="G5135" s="13"/>
    </row>
    <row r="5136" spans="2:8" hidden="1" outlineLevel="1">
      <c r="B5136" s="76"/>
      <c r="C5136" s="9" t="str">
        <f>C5135</f>
        <v>Show</v>
      </c>
      <c r="D5136" s="23"/>
      <c r="E5136" s="13"/>
      <c r="F5136" s="70" t="s">
        <v>119</v>
      </c>
      <c r="G5136" s="18" t="s">
        <v>677</v>
      </c>
    </row>
    <row r="5137" spans="2:8" hidden="1" outlineLevel="1">
      <c r="B5137" s="76"/>
      <c r="C5137" s="9" t="str">
        <f>C5136</f>
        <v>Show</v>
      </c>
      <c r="D5137" s="23"/>
      <c r="E5137" s="13"/>
      <c r="F5137" s="70"/>
      <c r="G5137" s="78" t="s">
        <v>121</v>
      </c>
      <c r="H5137" s="79" t="s">
        <v>2301</v>
      </c>
    </row>
    <row r="5138" spans="2:8" hidden="1" outlineLevel="1">
      <c r="B5138" s="76"/>
      <c r="C5138" s="9" t="str">
        <f>IF(COUNTIF(C5139:C5146,"Show")&gt;0,"Show","Hide")</f>
        <v>Show</v>
      </c>
      <c r="D5138" s="23"/>
      <c r="E5138" s="13">
        <v>1.2</v>
      </c>
      <c r="F5138" s="71" t="s">
        <v>131</v>
      </c>
      <c r="G5138" s="78"/>
    </row>
    <row r="5139" spans="2:8" hidden="1" outlineLevel="1">
      <c r="B5139" s="76"/>
      <c r="C5139" t="str">
        <f>$D$5947</f>
        <v>Show</v>
      </c>
      <c r="D5139" s="23"/>
      <c r="E5139" s="13"/>
      <c r="F5139" s="70" t="s">
        <v>119</v>
      </c>
      <c r="G5139" s="12" t="s">
        <v>3483</v>
      </c>
    </row>
    <row r="5140" spans="2:8" hidden="1" outlineLevel="1">
      <c r="B5140" s="76"/>
      <c r="C5140" s="9" t="str">
        <f>C5139</f>
        <v>Show</v>
      </c>
      <c r="D5140" s="23"/>
      <c r="E5140" s="13"/>
      <c r="F5140" s="70"/>
      <c r="G5140" s="78" t="s">
        <v>121</v>
      </c>
      <c r="H5140" s="75" t="s">
        <v>2907</v>
      </c>
    </row>
    <row r="5141" spans="2:8" hidden="1" outlineLevel="1">
      <c r="B5141" s="76"/>
      <c r="C5141" t="str">
        <f>$D$5974</f>
        <v>Show</v>
      </c>
      <c r="D5141" s="23"/>
      <c r="E5141" s="13"/>
      <c r="F5141" s="70" t="str">
        <f>CHAR(65+(COUNTIF(C$5139:C5140,"Show")/2))&amp;"."</f>
        <v>B.</v>
      </c>
      <c r="G5141" s="109" t="s">
        <v>3407</v>
      </c>
    </row>
    <row r="5142" spans="2:8" hidden="1" outlineLevel="1">
      <c r="B5142" s="76"/>
      <c r="C5142" s="9" t="str">
        <f>C5141</f>
        <v>Show</v>
      </c>
      <c r="D5142" s="23"/>
      <c r="E5142" s="13"/>
      <c r="F5142" s="70"/>
      <c r="G5142" s="78" t="s">
        <v>121</v>
      </c>
      <c r="H5142" s="75" t="s">
        <v>2323</v>
      </c>
    </row>
    <row r="5143" spans="2:8" hidden="1" outlineLevel="1">
      <c r="B5143" s="76"/>
      <c r="C5143" t="str">
        <f>$D$5994</f>
        <v>Show</v>
      </c>
      <c r="D5143" s="23"/>
      <c r="E5143" s="13"/>
      <c r="F5143" s="70" t="str">
        <f>CHAR(65+(COUNTIF(C$5139:C5142,"Show")/2))&amp;"."</f>
        <v>C.</v>
      </c>
      <c r="G5143" s="109" t="s">
        <v>3459</v>
      </c>
    </row>
    <row r="5144" spans="2:8" hidden="1" outlineLevel="1">
      <c r="B5144" s="76"/>
      <c r="C5144" s="9" t="str">
        <f>C5143</f>
        <v>Show</v>
      </c>
      <c r="D5144" s="23"/>
      <c r="E5144" s="13"/>
      <c r="F5144" s="70"/>
      <c r="G5144" s="78" t="s">
        <v>121</v>
      </c>
      <c r="H5144" s="75" t="s">
        <v>2810</v>
      </c>
    </row>
    <row r="5145" spans="2:8" hidden="1" outlineLevel="1">
      <c r="B5145" s="76"/>
      <c r="C5145" t="str">
        <f>$D$5996</f>
        <v>Show</v>
      </c>
      <c r="D5145" s="23"/>
      <c r="E5145" s="13"/>
      <c r="F5145" s="70" t="str">
        <f>CHAR(65+(COUNTIF(C$5139:C5144,"Show")/2))&amp;"."</f>
        <v>D.</v>
      </c>
      <c r="G5145" s="109" t="s">
        <v>3457</v>
      </c>
    </row>
    <row r="5146" spans="2:8" hidden="1" outlineLevel="1">
      <c r="B5146" s="76"/>
      <c r="C5146" s="9" t="str">
        <f>C5145</f>
        <v>Show</v>
      </c>
      <c r="D5146" s="23"/>
      <c r="E5146" s="13"/>
      <c r="F5146" s="70"/>
      <c r="G5146" s="78" t="s">
        <v>121</v>
      </c>
      <c r="H5146" s="75" t="s">
        <v>2804</v>
      </c>
    </row>
    <row r="5147" spans="2:8" hidden="1" outlineLevel="1">
      <c r="B5147" s="76"/>
      <c r="C5147" s="9" t="str">
        <f>C5134</f>
        <v>Show</v>
      </c>
      <c r="D5147" s="23" t="s">
        <v>613</v>
      </c>
      <c r="E5147" s="13"/>
      <c r="G5147" s="13"/>
    </row>
    <row r="5148" spans="2:8" hidden="1" outlineLevel="1">
      <c r="B5148" s="76"/>
      <c r="C5148" s="9" t="str">
        <f>C5134</f>
        <v>Show</v>
      </c>
      <c r="D5148" s="23"/>
      <c r="E5148" s="12" t="str">
        <f>IF(COUNTIF(C5149:C5156,"Show")&gt;0,"2.1 Product Requirements","No EGC Requirements")</f>
        <v>2.1 Product Requirements</v>
      </c>
      <c r="G5148" s="13"/>
    </row>
    <row r="5149" spans="2:8" hidden="1" outlineLevel="1">
      <c r="B5149" s="76"/>
      <c r="C5149" t="str">
        <f>$E$5947</f>
        <v>Show</v>
      </c>
      <c r="D5149" s="23"/>
      <c r="E5149" s="12"/>
      <c r="F5149" s="70" t="s">
        <v>119</v>
      </c>
      <c r="G5149" s="12" t="s">
        <v>3483</v>
      </c>
    </row>
    <row r="5150" spans="2:8" hidden="1" outlineLevel="1">
      <c r="B5150" s="76"/>
      <c r="C5150" s="9" t="str">
        <f>C5149</f>
        <v>Show</v>
      </c>
      <c r="D5150" s="23"/>
      <c r="E5150" s="12"/>
      <c r="G5150" s="78" t="s">
        <v>121</v>
      </c>
      <c r="H5150" s="75" t="s">
        <v>2909</v>
      </c>
    </row>
    <row r="5151" spans="2:8" hidden="1" outlineLevel="1">
      <c r="B5151" s="76"/>
      <c r="C5151" t="str">
        <f>$E$5974</f>
        <v>Show</v>
      </c>
      <c r="D5151" s="23"/>
      <c r="E5151" s="12"/>
      <c r="F5151" s="70" t="str">
        <f>CHAR(65+(COUNTIF(C$5149:C5150,"Show")/2))&amp;"."</f>
        <v>B.</v>
      </c>
      <c r="G5151" s="109" t="s">
        <v>3407</v>
      </c>
    </row>
    <row r="5152" spans="2:8" hidden="1" outlineLevel="1">
      <c r="B5152" s="76"/>
      <c r="C5152" t="str">
        <f>C5151</f>
        <v>Show</v>
      </c>
      <c r="D5152" s="23"/>
      <c r="E5152" s="12"/>
      <c r="G5152" s="78" t="s">
        <v>121</v>
      </c>
      <c r="H5152" s="75" t="s">
        <v>2698</v>
      </c>
    </row>
    <row r="5153" spans="2:8" hidden="1" outlineLevel="1">
      <c r="B5153" s="76"/>
      <c r="C5153" t="str">
        <f>$E$5994</f>
        <v>Show</v>
      </c>
      <c r="D5153" s="23"/>
      <c r="E5153" s="12"/>
      <c r="F5153" s="70" t="str">
        <f>CHAR(65+(COUNTIF(C$5149:C5152,"Show")/2))&amp;"."</f>
        <v>C.</v>
      </c>
      <c r="G5153" s="109" t="s">
        <v>3459</v>
      </c>
    </row>
    <row r="5154" spans="2:8" hidden="1" outlineLevel="1">
      <c r="B5154" s="76"/>
      <c r="C5154" s="9" t="str">
        <f>C5153</f>
        <v>Show</v>
      </c>
      <c r="D5154" s="23"/>
      <c r="E5154" s="12"/>
      <c r="G5154" s="78" t="s">
        <v>121</v>
      </c>
      <c r="H5154" s="75" t="s">
        <v>2809</v>
      </c>
    </row>
    <row r="5155" spans="2:8" hidden="1" outlineLevel="1">
      <c r="B5155" s="76"/>
      <c r="C5155" t="str">
        <f>$E$5996</f>
        <v>Show</v>
      </c>
      <c r="D5155" s="23"/>
      <c r="E5155" s="12"/>
      <c r="F5155" s="70" t="str">
        <f>CHAR(65+(COUNTIF(C$5149:C5154,"Show")/2))&amp;"."</f>
        <v>D.</v>
      </c>
      <c r="G5155" s="109" t="s">
        <v>3457</v>
      </c>
    </row>
    <row r="5156" spans="2:8" hidden="1" outlineLevel="1">
      <c r="B5156" s="76"/>
      <c r="C5156" s="9" t="str">
        <f>C5155</f>
        <v>Show</v>
      </c>
      <c r="D5156" s="23"/>
      <c r="E5156" s="12"/>
      <c r="G5156" s="78" t="s">
        <v>121</v>
      </c>
      <c r="H5156" s="75" t="s">
        <v>2803</v>
      </c>
    </row>
    <row r="5157" spans="2:8" hidden="1" outlineLevel="1">
      <c r="B5157" s="76"/>
      <c r="C5157" s="9" t="str">
        <f>C5134</f>
        <v>Show</v>
      </c>
      <c r="D5157" s="23" t="s">
        <v>187</v>
      </c>
      <c r="E5157" s="13"/>
      <c r="G5157" s="13"/>
    </row>
    <row r="5158" spans="2:8" hidden="1" outlineLevel="1">
      <c r="B5158" s="76"/>
      <c r="C5158" s="9" t="str">
        <f>C5134</f>
        <v>Show</v>
      </c>
      <c r="D5158" s="23"/>
      <c r="E5158" s="12" t="str">
        <f>IF(COUNTIF(C5159:C5164,"Show")&gt;0,"3.1 Execution Requirements","No EGC Requirements")</f>
        <v>3.1 Execution Requirements</v>
      </c>
      <c r="G5158" s="13"/>
    </row>
    <row r="5159" spans="2:8" hidden="1" outlineLevel="1">
      <c r="B5159" s="76"/>
      <c r="C5159" t="str">
        <f>$F$5947</f>
        <v>Show</v>
      </c>
      <c r="D5159" s="23"/>
      <c r="E5159" s="12"/>
      <c r="F5159" s="70" t="s">
        <v>119</v>
      </c>
      <c r="G5159" s="12" t="s">
        <v>3483</v>
      </c>
    </row>
    <row r="5160" spans="2:8" hidden="1" outlineLevel="1">
      <c r="B5160" s="76"/>
      <c r="C5160" s="9" t="str">
        <f>C5159</f>
        <v>Show</v>
      </c>
      <c r="D5160" s="23"/>
      <c r="E5160" s="12"/>
      <c r="G5160" s="78" t="s">
        <v>121</v>
      </c>
      <c r="H5160" s="75" t="s">
        <v>2910</v>
      </c>
    </row>
    <row r="5161" spans="2:8" hidden="1" outlineLevel="1">
      <c r="B5161" s="76"/>
      <c r="C5161" t="str">
        <f>$F$5974</f>
        <v>Show</v>
      </c>
      <c r="D5161" s="23"/>
      <c r="E5161" s="12"/>
      <c r="F5161" s="70" t="str">
        <f>CHAR(65+(COUNTIF(C$5159:C5160,"Show")/2))&amp;"."</f>
        <v>B.</v>
      </c>
      <c r="G5161" s="109" t="s">
        <v>3407</v>
      </c>
    </row>
    <row r="5162" spans="2:8" ht="30" hidden="1" outlineLevel="1">
      <c r="B5162" s="76"/>
      <c r="C5162" s="9" t="str">
        <f>C5161</f>
        <v>Show</v>
      </c>
      <c r="D5162" s="23"/>
      <c r="E5162" s="12"/>
      <c r="G5162" s="78" t="s">
        <v>121</v>
      </c>
      <c r="H5162" s="75" t="s">
        <v>2846</v>
      </c>
    </row>
    <row r="5163" spans="2:8" hidden="1" outlineLevel="1">
      <c r="B5163" s="76"/>
      <c r="C5163" t="str">
        <f>$F$5996</f>
        <v>Show</v>
      </c>
      <c r="D5163" s="23"/>
      <c r="E5163" s="13"/>
      <c r="F5163" s="70" t="str">
        <f>CHAR(65+(COUNTIF(C$5159:C5162,"Show")/2))&amp;"."</f>
        <v>C.</v>
      </c>
      <c r="G5163" s="109" t="s">
        <v>3457</v>
      </c>
    </row>
    <row r="5164" spans="2:8" ht="30" hidden="1" outlineLevel="1">
      <c r="B5164" s="76"/>
      <c r="C5164" s="9" t="str">
        <f>C5163</f>
        <v>Show</v>
      </c>
      <c r="D5164" s="23"/>
      <c r="E5164" s="13"/>
      <c r="G5164" s="78" t="s">
        <v>121</v>
      </c>
      <c r="H5164" s="75" t="s">
        <v>2802</v>
      </c>
    </row>
    <row r="5165" spans="2:8" hidden="1" outlineLevel="1">
      <c r="B5165" s="76"/>
      <c r="C5165" s="9" t="str">
        <f>C5134</f>
        <v>Show</v>
      </c>
    </row>
    <row r="5166" spans="2:8" collapsed="1">
      <c r="B5166" s="76"/>
      <c r="C5166" s="7" t="s">
        <v>116</v>
      </c>
      <c r="D5166" s="12"/>
      <c r="E5166" s="132"/>
      <c r="F5166" s="12"/>
      <c r="G5166" s="69"/>
    </row>
    <row r="5167" spans="2:8">
      <c r="B5167" s="76"/>
      <c r="C5167" s="7" t="s">
        <v>116</v>
      </c>
      <c r="D5167" s="38" t="s">
        <v>578</v>
      </c>
      <c r="E5167" s="47"/>
      <c r="F5167" s="46"/>
      <c r="G5167" s="39"/>
      <c r="H5167" s="41"/>
    </row>
    <row r="5168" spans="2:8">
      <c r="B5168" s="23"/>
      <c r="C5168" s="2" t="str">
        <f>C5169</f>
        <v>Show</v>
      </c>
      <c r="D5168" s="60" t="s">
        <v>1219</v>
      </c>
      <c r="E5168" s="60"/>
      <c r="F5168" s="56" t="s">
        <v>579</v>
      </c>
      <c r="G5168" s="53"/>
      <c r="H5168" s="54"/>
    </row>
    <row r="5169" spans="2:8" hidden="1" outlineLevel="1">
      <c r="B5169" s="76"/>
      <c r="C5169" s="2" t="str">
        <f>IF((COUNTIF(C5177:C5178,"Show"))&gt;0,"Show","Hide")</f>
        <v>Show</v>
      </c>
      <c r="D5169" s="23" t="s">
        <v>117</v>
      </c>
      <c r="E5169" s="13"/>
      <c r="G5169" s="13"/>
    </row>
    <row r="5170" spans="2:8" hidden="1" outlineLevel="1">
      <c r="B5170" s="76"/>
      <c r="C5170" s="9" t="str">
        <f>C5169</f>
        <v>Show</v>
      </c>
      <c r="D5170" s="23"/>
      <c r="E5170" s="13">
        <v>1.1000000000000001</v>
      </c>
      <c r="F5170" s="11" t="s">
        <v>118</v>
      </c>
      <c r="G5170" s="13"/>
    </row>
    <row r="5171" spans="2:8" hidden="1" outlineLevel="1">
      <c r="B5171" s="76"/>
      <c r="C5171" s="9" t="str">
        <f>C5170</f>
        <v>Show</v>
      </c>
      <c r="D5171" s="23"/>
      <c r="E5171" s="13"/>
      <c r="F5171" s="70" t="s">
        <v>119</v>
      </c>
      <c r="G5171" s="18" t="s">
        <v>677</v>
      </c>
    </row>
    <row r="5172" spans="2:8" hidden="1" outlineLevel="1">
      <c r="B5172" s="76"/>
      <c r="C5172" s="9" t="str">
        <f>C5171</f>
        <v>Show</v>
      </c>
      <c r="D5172" s="23"/>
      <c r="E5172" s="13"/>
      <c r="F5172" s="70"/>
      <c r="G5172" s="78" t="s">
        <v>121</v>
      </c>
      <c r="H5172" s="79" t="s">
        <v>2301</v>
      </c>
    </row>
    <row r="5173" spans="2:8" hidden="1" outlineLevel="1">
      <c r="B5173" s="76"/>
      <c r="C5173" s="9" t="str">
        <f>C5169</f>
        <v>Show</v>
      </c>
      <c r="D5173" s="23" t="s">
        <v>613</v>
      </c>
      <c r="E5173" s="13"/>
      <c r="G5173" s="13"/>
    </row>
    <row r="5174" spans="2:8" hidden="1" outlineLevel="1">
      <c r="B5174" s="76"/>
      <c r="C5174" s="9" t="str">
        <f>C5169</f>
        <v>Show</v>
      </c>
      <c r="D5174" s="23"/>
      <c r="E5174" s="12" t="s">
        <v>2703</v>
      </c>
      <c r="G5174" s="13"/>
    </row>
    <row r="5175" spans="2:8" hidden="1" outlineLevel="1">
      <c r="B5175" s="76"/>
      <c r="C5175" s="9" t="str">
        <f>C5169</f>
        <v>Show</v>
      </c>
      <c r="D5175" s="23" t="s">
        <v>187</v>
      </c>
      <c r="E5175" s="13"/>
      <c r="G5175" s="13"/>
    </row>
    <row r="5176" spans="2:8" hidden="1" outlineLevel="1">
      <c r="B5176" s="76"/>
      <c r="C5176" s="9" t="str">
        <f>C5169</f>
        <v>Show</v>
      </c>
      <c r="D5176" s="23"/>
      <c r="E5176" s="12" t="str">
        <f>IF(COUNTIF(C5177:C5178,"Show")&gt;0,"3.1 Execution Requirements","No EGC Requirements")</f>
        <v>3.1 Execution Requirements</v>
      </c>
      <c r="G5176" s="13"/>
    </row>
    <row r="5177" spans="2:8" hidden="1" outlineLevel="1">
      <c r="B5177" s="76"/>
      <c r="C5177" t="str">
        <f>$F$5943</f>
        <v>Show</v>
      </c>
      <c r="D5177" s="23"/>
      <c r="E5177" s="13"/>
      <c r="F5177" s="70" t="s">
        <v>119</v>
      </c>
      <c r="G5177" s="12" t="s">
        <v>3485</v>
      </c>
    </row>
    <row r="5178" spans="2:8" hidden="1" outlineLevel="1">
      <c r="B5178" s="76"/>
      <c r="C5178" s="9" t="str">
        <f>C5177</f>
        <v>Show</v>
      </c>
      <c r="D5178" s="23"/>
      <c r="E5178" s="13"/>
      <c r="G5178" s="78" t="s">
        <v>121</v>
      </c>
      <c r="H5178" s="75" t="s">
        <v>2916</v>
      </c>
    </row>
    <row r="5179" spans="2:8" hidden="1" outlineLevel="1">
      <c r="B5179" s="76"/>
      <c r="C5179" s="9" t="str">
        <f>C5169</f>
        <v>Show</v>
      </c>
    </row>
    <row r="5180" spans="2:8" collapsed="1">
      <c r="B5180" s="23"/>
      <c r="C5180" s="2" t="str">
        <f>C5181</f>
        <v>Show</v>
      </c>
      <c r="D5180" s="55" t="s">
        <v>1734</v>
      </c>
      <c r="E5180" s="55"/>
      <c r="F5180" s="57" t="s">
        <v>1732</v>
      </c>
      <c r="G5180" s="53"/>
      <c r="H5180" s="54"/>
    </row>
    <row r="5181" spans="2:8" hidden="1" outlineLevel="1">
      <c r="B5181" s="76"/>
      <c r="C5181" s="2" t="str">
        <f>IF((COUNTIF(C5185:C5187,"Show")+COUNTIF(C5192:C5193,"Show"))&gt;0,"Show","Hide")</f>
        <v>Show</v>
      </c>
      <c r="D5181" s="23" t="s">
        <v>117</v>
      </c>
      <c r="E5181" s="13"/>
      <c r="G5181" s="13"/>
    </row>
    <row r="5182" spans="2:8" hidden="1" outlineLevel="1">
      <c r="B5182" s="76"/>
      <c r="C5182" s="9" t="str">
        <f>C5181</f>
        <v>Show</v>
      </c>
      <c r="D5182" s="23"/>
      <c r="E5182" s="13">
        <v>1.1000000000000001</v>
      </c>
      <c r="F5182" s="11" t="s">
        <v>118</v>
      </c>
      <c r="G5182" s="13"/>
    </row>
    <row r="5183" spans="2:8" hidden="1" outlineLevel="1">
      <c r="B5183" s="76"/>
      <c r="C5183" s="9" t="str">
        <f>C5182</f>
        <v>Show</v>
      </c>
      <c r="D5183" s="23"/>
      <c r="E5183" s="13"/>
      <c r="F5183" s="70" t="s">
        <v>119</v>
      </c>
      <c r="H5183" s="18" t="s">
        <v>677</v>
      </c>
    </row>
    <row r="5184" spans="2:8" hidden="1" outlineLevel="1">
      <c r="B5184" s="76"/>
      <c r="C5184" s="9" t="str">
        <f>C5183</f>
        <v>Show</v>
      </c>
      <c r="D5184" s="23"/>
      <c r="E5184" s="13"/>
      <c r="F5184" s="70"/>
      <c r="G5184" s="78" t="s">
        <v>121</v>
      </c>
      <c r="H5184" s="79" t="s">
        <v>2301</v>
      </c>
    </row>
    <row r="5185" spans="2:8" hidden="1" outlineLevel="1">
      <c r="B5185" s="76"/>
      <c r="C5185" s="9" t="str">
        <f>IF(COUNTIF(C5186:C5187,"Show")&gt;0,"Show","Hide")</f>
        <v>Show</v>
      </c>
      <c r="D5185" s="23"/>
      <c r="E5185" s="13">
        <v>1.2</v>
      </c>
      <c r="F5185" s="71" t="s">
        <v>131</v>
      </c>
      <c r="G5185" s="78"/>
    </row>
    <row r="5186" spans="2:8" ht="30" hidden="1" outlineLevel="1">
      <c r="B5186" s="76"/>
      <c r="C5186" t="str">
        <f>$D$5993</f>
        <v>Show</v>
      </c>
      <c r="D5186" s="23"/>
      <c r="E5186" s="13"/>
      <c r="F5186" s="70" t="s">
        <v>119</v>
      </c>
      <c r="H5186" s="13" t="s">
        <v>3437</v>
      </c>
    </row>
    <row r="5187" spans="2:8" ht="30" hidden="1" outlineLevel="1">
      <c r="B5187" s="76"/>
      <c r="C5187" s="9" t="str">
        <f>C5186</f>
        <v>Show</v>
      </c>
      <c r="D5187" s="23"/>
      <c r="E5187" s="13"/>
      <c r="F5187" s="70"/>
      <c r="G5187" s="78" t="s">
        <v>121</v>
      </c>
      <c r="H5187" s="75" t="s">
        <v>2917</v>
      </c>
    </row>
    <row r="5188" spans="2:8" hidden="1" outlineLevel="1">
      <c r="B5188" s="76"/>
      <c r="C5188" s="9" t="str">
        <f>C5181</f>
        <v>Show</v>
      </c>
      <c r="D5188" s="23" t="s">
        <v>613</v>
      </c>
      <c r="E5188" s="13"/>
      <c r="G5188" s="13"/>
    </row>
    <row r="5189" spans="2:8" hidden="1" outlineLevel="1">
      <c r="B5189" s="76"/>
      <c r="C5189" s="9" t="str">
        <f>C5181</f>
        <v>Show</v>
      </c>
      <c r="D5189" s="23"/>
      <c r="E5189" s="12" t="s">
        <v>2703</v>
      </c>
      <c r="G5189" s="13"/>
    </row>
    <row r="5190" spans="2:8" hidden="1" outlineLevel="1">
      <c r="B5190" s="76"/>
      <c r="C5190" s="9" t="str">
        <f>C5181</f>
        <v>Show</v>
      </c>
      <c r="D5190" s="23" t="s">
        <v>187</v>
      </c>
      <c r="E5190" s="13"/>
      <c r="G5190" s="13"/>
    </row>
    <row r="5191" spans="2:8" hidden="1" outlineLevel="1">
      <c r="B5191" s="76"/>
      <c r="C5191" s="9" t="str">
        <f>C5181</f>
        <v>Show</v>
      </c>
      <c r="D5191" s="23"/>
      <c r="E5191" s="12" t="str">
        <f>IF(COUNTIF(C5192:C5193,"Show")&gt;0,"3.1 Execution Requirements","No EGC Requirements")</f>
        <v>3.1 Execution Requirements</v>
      </c>
      <c r="G5191" s="13"/>
    </row>
    <row r="5192" spans="2:8" ht="30" hidden="1" outlineLevel="1">
      <c r="B5192" s="76"/>
      <c r="C5192" t="str">
        <f>$F$5993</f>
        <v>Show</v>
      </c>
      <c r="D5192" s="23"/>
      <c r="E5192" s="13"/>
      <c r="F5192" s="70" t="s">
        <v>119</v>
      </c>
      <c r="H5192" s="13" t="s">
        <v>3437</v>
      </c>
    </row>
    <row r="5193" spans="2:8" ht="30" hidden="1" outlineLevel="1">
      <c r="B5193" s="76"/>
      <c r="C5193" s="9" t="str">
        <f>C5192</f>
        <v>Show</v>
      </c>
      <c r="D5193" s="23"/>
      <c r="E5193" s="13"/>
      <c r="G5193" s="78" t="s">
        <v>121</v>
      </c>
      <c r="H5193" s="75" t="s">
        <v>2918</v>
      </c>
    </row>
    <row r="5194" spans="2:8" hidden="1" outlineLevel="1">
      <c r="B5194" s="76"/>
      <c r="C5194" s="9" t="str">
        <f>C5181</f>
        <v>Show</v>
      </c>
    </row>
    <row r="5195" spans="2:8" collapsed="1">
      <c r="B5195" s="76"/>
      <c r="C5195" s="7" t="s">
        <v>116</v>
      </c>
      <c r="D5195" s="80"/>
      <c r="E5195" s="132"/>
      <c r="F5195" s="12"/>
      <c r="G5195" s="69"/>
    </row>
    <row r="5196" spans="2:8">
      <c r="B5196" s="76"/>
      <c r="C5196" s="7" t="s">
        <v>116</v>
      </c>
      <c r="D5196" s="38" t="s">
        <v>561</v>
      </c>
      <c r="E5196" s="45"/>
      <c r="F5196" s="46"/>
      <c r="G5196" s="39"/>
      <c r="H5196" s="41"/>
    </row>
    <row r="5197" spans="2:8">
      <c r="B5197" s="23"/>
      <c r="C5197" s="2" t="str">
        <f>C5198</f>
        <v>Show</v>
      </c>
      <c r="D5197" s="55" t="s">
        <v>1735</v>
      </c>
      <c r="E5197" s="55"/>
      <c r="F5197" s="57" t="s">
        <v>2011</v>
      </c>
      <c r="G5197" s="53"/>
      <c r="H5197" s="54"/>
    </row>
    <row r="5198" spans="2:8" hidden="1" outlineLevel="1">
      <c r="B5198" s="76"/>
      <c r="C5198" s="2" t="str">
        <f>IF((COUNTIF(C5204:C5205,"Show")+COUNTIF(C5208:C5209,"Show"))&gt;0,"Show","Hide")</f>
        <v>Show</v>
      </c>
      <c r="D5198" s="23" t="s">
        <v>117</v>
      </c>
      <c r="E5198" s="13"/>
      <c r="G5198" s="13"/>
    </row>
    <row r="5199" spans="2:8" hidden="1" outlineLevel="1">
      <c r="B5199" s="76"/>
      <c r="C5199" s="9" t="str">
        <f>C5198</f>
        <v>Show</v>
      </c>
      <c r="D5199" s="23"/>
      <c r="E5199" s="13">
        <v>1.1000000000000001</v>
      </c>
      <c r="F5199" s="11" t="s">
        <v>118</v>
      </c>
      <c r="G5199" s="13"/>
    </row>
    <row r="5200" spans="2:8" hidden="1" outlineLevel="1">
      <c r="B5200" s="76"/>
      <c r="C5200" s="9" t="str">
        <f>C5199</f>
        <v>Show</v>
      </c>
      <c r="D5200" s="23"/>
      <c r="E5200" s="13"/>
      <c r="F5200" s="70" t="s">
        <v>119</v>
      </c>
      <c r="G5200" s="18" t="s">
        <v>677</v>
      </c>
    </row>
    <row r="5201" spans="2:8" hidden="1" outlineLevel="1">
      <c r="B5201" s="76"/>
      <c r="C5201" s="9" t="str">
        <f>C5200</f>
        <v>Show</v>
      </c>
      <c r="D5201" s="23"/>
      <c r="E5201" s="13"/>
      <c r="F5201" s="70"/>
      <c r="G5201" s="78" t="s">
        <v>121</v>
      </c>
      <c r="H5201" s="79" t="s">
        <v>2301</v>
      </c>
    </row>
    <row r="5202" spans="2:8" hidden="1" outlineLevel="1">
      <c r="B5202" s="76"/>
      <c r="C5202" s="9" t="str">
        <f>C5198</f>
        <v>Show</v>
      </c>
      <c r="D5202" s="23" t="s">
        <v>613</v>
      </c>
      <c r="E5202" s="13"/>
      <c r="G5202" s="13"/>
    </row>
    <row r="5203" spans="2:8" hidden="1" outlineLevel="1">
      <c r="B5203" s="76"/>
      <c r="C5203" s="9" t="str">
        <f>C5198</f>
        <v>Show</v>
      </c>
      <c r="D5203" s="23"/>
      <c r="E5203" s="12" t="str">
        <f>IF(COUNTIF(C5204:C5205,"Show")&gt;0,"2.1 Product Requirements","No EGC Requirements")</f>
        <v>2.1 Product Requirements</v>
      </c>
      <c r="G5203" s="13"/>
    </row>
    <row r="5204" spans="2:8" hidden="1" outlineLevel="1">
      <c r="B5204" s="76"/>
      <c r="C5204" t="str">
        <f>$E$5992</f>
        <v>Show</v>
      </c>
      <c r="D5204" s="23"/>
      <c r="E5204" s="12"/>
      <c r="F5204" s="70" t="s">
        <v>119</v>
      </c>
      <c r="G5204" s="12" t="s">
        <v>3447</v>
      </c>
    </row>
    <row r="5205" spans="2:8" ht="30" hidden="1" outlineLevel="1">
      <c r="B5205" s="76"/>
      <c r="C5205" s="9" t="str">
        <f>C5204</f>
        <v>Show</v>
      </c>
      <c r="D5205" s="23"/>
      <c r="E5205" s="12"/>
      <c r="G5205" s="30" t="s">
        <v>121</v>
      </c>
      <c r="H5205" s="75" t="s">
        <v>2919</v>
      </c>
    </row>
    <row r="5206" spans="2:8" hidden="1" outlineLevel="1">
      <c r="B5206" s="76"/>
      <c r="C5206" s="9" t="str">
        <f>C5198</f>
        <v>Show</v>
      </c>
      <c r="D5206" s="23" t="s">
        <v>187</v>
      </c>
      <c r="E5206" s="13"/>
      <c r="G5206" s="13"/>
    </row>
    <row r="5207" spans="2:8" hidden="1" outlineLevel="1">
      <c r="B5207" s="76"/>
      <c r="C5207" s="9" t="str">
        <f>C5198</f>
        <v>Show</v>
      </c>
      <c r="D5207" s="23"/>
      <c r="E5207" s="12" t="str">
        <f>IF(COUNTIF(C5208:C5209,"Show")&gt;0,"3.1 Execution Requirements","No EGC Requirements")</f>
        <v>3.1 Execution Requirements</v>
      </c>
      <c r="G5207" s="13"/>
    </row>
    <row r="5208" spans="2:8" hidden="1" outlineLevel="1">
      <c r="B5208" s="76"/>
      <c r="C5208" t="str">
        <f>$F$5992</f>
        <v>Show</v>
      </c>
      <c r="D5208" s="23"/>
      <c r="E5208" s="13"/>
      <c r="F5208" s="70" t="s">
        <v>119</v>
      </c>
      <c r="G5208" s="12" t="s">
        <v>3447</v>
      </c>
    </row>
    <row r="5209" spans="2:8" ht="30" hidden="1" outlineLevel="1">
      <c r="B5209" s="76"/>
      <c r="C5209" s="9" t="str">
        <f>C5208</f>
        <v>Show</v>
      </c>
      <c r="D5209" s="23"/>
      <c r="E5209" s="13"/>
      <c r="G5209" s="78" t="s">
        <v>121</v>
      </c>
      <c r="H5209" s="75" t="s">
        <v>2920</v>
      </c>
    </row>
    <row r="5210" spans="2:8" hidden="1" outlineLevel="1">
      <c r="B5210" s="76"/>
      <c r="C5210" s="9" t="str">
        <f>C5198</f>
        <v>Show</v>
      </c>
    </row>
    <row r="5211" spans="2:8" collapsed="1">
      <c r="B5211" s="23"/>
      <c r="C5211" s="2" t="str">
        <f>C5212</f>
        <v>Show</v>
      </c>
      <c r="D5211" s="55" t="s">
        <v>332</v>
      </c>
      <c r="E5211" s="55"/>
      <c r="F5211" s="57" t="s">
        <v>333</v>
      </c>
      <c r="G5211" s="53"/>
      <c r="H5211" s="54"/>
    </row>
    <row r="5212" spans="2:8" hidden="1" outlineLevel="1">
      <c r="B5212" s="76"/>
      <c r="C5212" s="2" t="str">
        <f>IF((COUNTIF(C5216:C5218,"Show")+COUNTIF(C5221:C5222,"Show")+COUNTIF(C5225:C5226,"Show"))&gt;0,"Show","Hide")</f>
        <v>Show</v>
      </c>
      <c r="D5212" s="23" t="s">
        <v>117</v>
      </c>
      <c r="E5212" s="13"/>
      <c r="G5212" s="13"/>
    </row>
    <row r="5213" spans="2:8" hidden="1" outlineLevel="1">
      <c r="B5213" s="76"/>
      <c r="C5213" s="9" t="str">
        <f>C5212</f>
        <v>Show</v>
      </c>
      <c r="D5213" s="23"/>
      <c r="E5213" s="13">
        <v>1.1000000000000001</v>
      </c>
      <c r="F5213" s="11" t="s">
        <v>118</v>
      </c>
      <c r="G5213" s="13"/>
    </row>
    <row r="5214" spans="2:8" hidden="1" outlineLevel="1">
      <c r="B5214" s="76"/>
      <c r="C5214" s="9" t="str">
        <f>C5213</f>
        <v>Show</v>
      </c>
      <c r="D5214" s="23"/>
      <c r="E5214" s="13"/>
      <c r="F5214" s="70" t="s">
        <v>119</v>
      </c>
      <c r="G5214" s="18" t="s">
        <v>677</v>
      </c>
    </row>
    <row r="5215" spans="2:8" hidden="1" outlineLevel="1">
      <c r="B5215" s="76"/>
      <c r="C5215" s="9" t="str">
        <f>C5214</f>
        <v>Show</v>
      </c>
      <c r="D5215" s="23"/>
      <c r="E5215" s="13"/>
      <c r="F5215" s="70"/>
      <c r="G5215" s="78" t="s">
        <v>121</v>
      </c>
      <c r="H5215" s="79" t="s">
        <v>2301</v>
      </c>
    </row>
    <row r="5216" spans="2:8" hidden="1" outlineLevel="1">
      <c r="B5216" s="76"/>
      <c r="C5216" s="9" t="str">
        <f>IF(COUNTIF(C5217:C5218,"Show")&gt;0,"Show","Hide")</f>
        <v>Show</v>
      </c>
      <c r="D5216" s="23"/>
      <c r="E5216" s="13">
        <v>1.2</v>
      </c>
      <c r="F5216" s="71" t="s">
        <v>131</v>
      </c>
      <c r="G5216" s="78"/>
      <c r="H5216" s="79"/>
    </row>
    <row r="5217" spans="2:8" hidden="1" outlineLevel="1">
      <c r="B5217" s="76"/>
      <c r="C5217" t="str">
        <f>$D$5992</f>
        <v>Show</v>
      </c>
      <c r="D5217" s="23"/>
      <c r="E5217" s="13"/>
      <c r="F5217" s="70" t="s">
        <v>119</v>
      </c>
      <c r="G5217" s="12" t="s">
        <v>3447</v>
      </c>
      <c r="H5217" s="79"/>
    </row>
    <row r="5218" spans="2:8" ht="30" hidden="1" outlineLevel="1">
      <c r="B5218" s="76"/>
      <c r="C5218" s="9" t="str">
        <f>C5217</f>
        <v>Show</v>
      </c>
      <c r="D5218" s="23"/>
      <c r="E5218" s="13"/>
      <c r="F5218" s="70"/>
      <c r="G5218" s="78" t="s">
        <v>121</v>
      </c>
      <c r="H5218" s="79" t="s">
        <v>2922</v>
      </c>
    </row>
    <row r="5219" spans="2:8" hidden="1" outlineLevel="1">
      <c r="B5219" s="76"/>
      <c r="C5219" s="9" t="str">
        <f>C5212</f>
        <v>Show</v>
      </c>
      <c r="D5219" s="23" t="s">
        <v>613</v>
      </c>
      <c r="E5219" s="13"/>
      <c r="G5219" s="13"/>
    </row>
    <row r="5220" spans="2:8" hidden="1" outlineLevel="1">
      <c r="B5220" s="76"/>
      <c r="C5220" s="9" t="str">
        <f>C5212</f>
        <v>Show</v>
      </c>
      <c r="D5220" s="23"/>
      <c r="E5220" s="12" t="str">
        <f>IF(COUNTIF(C5221:C5222,"Show")&gt;0,"2.1 Product Requirements","No EGC Requirements")</f>
        <v>2.1 Product Requirements</v>
      </c>
      <c r="G5220" s="13"/>
    </row>
    <row r="5221" spans="2:8" hidden="1" outlineLevel="1">
      <c r="B5221" s="76"/>
      <c r="C5221" t="str">
        <f>$E$5992</f>
        <v>Show</v>
      </c>
      <c r="D5221" s="23"/>
      <c r="E5221" s="12"/>
      <c r="F5221" s="70" t="s">
        <v>119</v>
      </c>
      <c r="G5221" s="12" t="s">
        <v>3447</v>
      </c>
    </row>
    <row r="5222" spans="2:8" ht="30" hidden="1" outlineLevel="1">
      <c r="B5222" s="76"/>
      <c r="C5222" s="9" t="str">
        <f>C5221</f>
        <v>Show</v>
      </c>
      <c r="D5222" s="23"/>
      <c r="E5222" s="12"/>
      <c r="G5222" s="30" t="s">
        <v>121</v>
      </c>
      <c r="H5222" s="75" t="s">
        <v>2919</v>
      </c>
    </row>
    <row r="5223" spans="2:8" hidden="1" outlineLevel="1">
      <c r="B5223" s="76"/>
      <c r="C5223" s="9" t="str">
        <f>C5212</f>
        <v>Show</v>
      </c>
      <c r="D5223" s="23" t="s">
        <v>187</v>
      </c>
      <c r="E5223" s="13"/>
      <c r="G5223" s="13"/>
    </row>
    <row r="5224" spans="2:8" hidden="1" outlineLevel="1">
      <c r="B5224" s="76"/>
      <c r="C5224" s="9" t="str">
        <f>C5212</f>
        <v>Show</v>
      </c>
      <c r="D5224" s="23"/>
      <c r="E5224" s="12" t="str">
        <f>IF(COUNTIF(C5225:C5226,"Show")&gt;0,"3.1 Execution Requirements","No EGC Requirements")</f>
        <v>3.1 Execution Requirements</v>
      </c>
      <c r="G5224" s="13"/>
    </row>
    <row r="5225" spans="2:8" hidden="1" outlineLevel="1">
      <c r="B5225" s="76"/>
      <c r="C5225" t="str">
        <f>$F$5992</f>
        <v>Show</v>
      </c>
      <c r="D5225" s="23"/>
      <c r="E5225" s="13"/>
      <c r="F5225" s="70" t="s">
        <v>119</v>
      </c>
      <c r="G5225" s="12" t="s">
        <v>3447</v>
      </c>
    </row>
    <row r="5226" spans="2:8" ht="30" hidden="1" outlineLevel="1">
      <c r="B5226" s="76"/>
      <c r="C5226" s="9" t="str">
        <f>C5225</f>
        <v>Show</v>
      </c>
      <c r="D5226" s="23"/>
      <c r="E5226" s="13"/>
      <c r="G5226" s="78" t="s">
        <v>121</v>
      </c>
      <c r="H5226" s="75" t="s">
        <v>2921</v>
      </c>
    </row>
    <row r="5227" spans="2:8" hidden="1" outlineLevel="1">
      <c r="B5227" s="76"/>
      <c r="C5227" s="9" t="str">
        <f>C5212</f>
        <v>Show</v>
      </c>
    </row>
    <row r="5228" spans="2:8" collapsed="1">
      <c r="B5228" s="23"/>
      <c r="C5228" s="2" t="str">
        <f>C5229</f>
        <v>Show</v>
      </c>
      <c r="D5228" s="55" t="s">
        <v>334</v>
      </c>
      <c r="E5228" s="55"/>
      <c r="F5228" s="57" t="s">
        <v>1733</v>
      </c>
      <c r="G5228" s="53"/>
      <c r="H5228" s="54"/>
    </row>
    <row r="5229" spans="2:8" hidden="1" outlineLevel="1">
      <c r="B5229" s="76"/>
      <c r="C5229" s="2" t="str">
        <f>IF((COUNTIF(C5233:C5235,"Show")+COUNTIF(C5238:C5239,"Show")+COUNTIF(C5242:C5243,"Show"))&gt;0,"Show","Hide")</f>
        <v>Show</v>
      </c>
      <c r="D5229" s="23" t="s">
        <v>117</v>
      </c>
      <c r="E5229" s="13"/>
      <c r="G5229" s="13"/>
    </row>
    <row r="5230" spans="2:8" hidden="1" outlineLevel="1">
      <c r="B5230" s="76"/>
      <c r="C5230" s="9" t="str">
        <f>C5229</f>
        <v>Show</v>
      </c>
      <c r="D5230" s="23"/>
      <c r="E5230" s="13">
        <v>1.1000000000000001</v>
      </c>
      <c r="F5230" s="11" t="s">
        <v>118</v>
      </c>
      <c r="G5230" s="13"/>
    </row>
    <row r="5231" spans="2:8" hidden="1" outlineLevel="1">
      <c r="B5231" s="76"/>
      <c r="C5231" s="9" t="str">
        <f>C5230</f>
        <v>Show</v>
      </c>
      <c r="D5231" s="23"/>
      <c r="E5231" s="13"/>
      <c r="F5231" s="70" t="s">
        <v>119</v>
      </c>
      <c r="G5231" s="18" t="s">
        <v>677</v>
      </c>
    </row>
    <row r="5232" spans="2:8" hidden="1" outlineLevel="1">
      <c r="B5232" s="76"/>
      <c r="C5232" s="9" t="str">
        <f>C5231</f>
        <v>Show</v>
      </c>
      <c r="D5232" s="23"/>
      <c r="E5232" s="13"/>
      <c r="F5232" s="70"/>
      <c r="G5232" s="78" t="s">
        <v>121</v>
      </c>
      <c r="H5232" s="79" t="s">
        <v>2301</v>
      </c>
    </row>
    <row r="5233" spans="2:8" hidden="1" outlineLevel="1">
      <c r="B5233" s="76"/>
      <c r="C5233" s="9" t="str">
        <f>IF(COUNTIF(C5234:C5235,"Show")&gt;0,"Show","Hide")</f>
        <v>Show</v>
      </c>
      <c r="D5233" s="23"/>
      <c r="E5233" s="13">
        <v>1.2</v>
      </c>
      <c r="F5233" s="71" t="s">
        <v>131</v>
      </c>
      <c r="G5233" s="78"/>
    </row>
    <row r="5234" spans="2:8" hidden="1" outlineLevel="1">
      <c r="B5234" s="76"/>
      <c r="C5234" t="str">
        <f>$D$5979</f>
        <v>Show</v>
      </c>
      <c r="D5234" s="23"/>
      <c r="E5234" s="13"/>
      <c r="F5234" s="70" t="s">
        <v>119</v>
      </c>
      <c r="G5234" s="12" t="s">
        <v>3476</v>
      </c>
    </row>
    <row r="5235" spans="2:8" hidden="1" outlineLevel="1">
      <c r="B5235" s="76"/>
      <c r="C5235" s="9" t="str">
        <f>C5234</f>
        <v>Show</v>
      </c>
      <c r="D5235" s="23"/>
      <c r="E5235" s="13"/>
      <c r="F5235" s="70"/>
      <c r="G5235" s="78" t="s">
        <v>121</v>
      </c>
      <c r="H5235" s="75" t="s">
        <v>2885</v>
      </c>
    </row>
    <row r="5236" spans="2:8" hidden="1" outlineLevel="1">
      <c r="B5236" s="76"/>
      <c r="C5236" s="9" t="str">
        <f>C5229</f>
        <v>Show</v>
      </c>
      <c r="D5236" s="23" t="s">
        <v>613</v>
      </c>
      <c r="E5236" s="13"/>
      <c r="G5236" s="13"/>
    </row>
    <row r="5237" spans="2:8" hidden="1" outlineLevel="1">
      <c r="B5237" s="76"/>
      <c r="C5237" s="9" t="str">
        <f>C5229</f>
        <v>Show</v>
      </c>
      <c r="D5237" s="23"/>
      <c r="E5237" s="12" t="str">
        <f>IF(COUNTIF(C5238:C5239,"Show")&gt;0,"2.1 Product Requirements","No EGC Requirements")</f>
        <v>2.1 Product Requirements</v>
      </c>
      <c r="G5237" s="13"/>
    </row>
    <row r="5238" spans="2:8" hidden="1" outlineLevel="1">
      <c r="B5238" s="76"/>
      <c r="C5238" t="str">
        <f>$E$5979</f>
        <v>Show</v>
      </c>
      <c r="D5238" s="23"/>
      <c r="E5238" s="12"/>
      <c r="F5238" s="70" t="s">
        <v>119</v>
      </c>
      <c r="G5238" s="12" t="s">
        <v>3476</v>
      </c>
    </row>
    <row r="5239" spans="2:8" hidden="1" outlineLevel="1">
      <c r="B5239" s="76"/>
      <c r="C5239" s="9" t="str">
        <f>C5238</f>
        <v>Show</v>
      </c>
      <c r="D5239" s="23"/>
      <c r="E5239" s="12"/>
      <c r="G5239" s="78" t="s">
        <v>121</v>
      </c>
      <c r="H5239" s="75" t="s">
        <v>2886</v>
      </c>
    </row>
    <row r="5240" spans="2:8" hidden="1" outlineLevel="1">
      <c r="B5240" s="76"/>
      <c r="C5240" s="9" t="str">
        <f>C5229</f>
        <v>Show</v>
      </c>
      <c r="D5240" s="23" t="s">
        <v>187</v>
      </c>
      <c r="E5240" s="13"/>
      <c r="G5240" s="13"/>
    </row>
    <row r="5241" spans="2:8" hidden="1" outlineLevel="1">
      <c r="B5241" s="76"/>
      <c r="C5241" s="9" t="str">
        <f>C5229</f>
        <v>Show</v>
      </c>
      <c r="D5241" s="23"/>
      <c r="E5241" s="12" t="str">
        <f>IF(COUNTIF(C5242:C5243,"Show")&gt;0,"3.1 Execution Requirements","No EGC Requirements")</f>
        <v>3.1 Execution Requirements</v>
      </c>
      <c r="G5241" s="13"/>
    </row>
    <row r="5242" spans="2:8" hidden="1" outlineLevel="1">
      <c r="B5242" s="76"/>
      <c r="C5242" t="str">
        <f>$F$5979</f>
        <v>Show</v>
      </c>
      <c r="D5242" s="23"/>
      <c r="E5242" s="13"/>
      <c r="F5242" s="70" t="s">
        <v>119</v>
      </c>
      <c r="G5242" s="12" t="s">
        <v>3476</v>
      </c>
    </row>
    <row r="5243" spans="2:8" hidden="1" outlineLevel="1">
      <c r="B5243" s="76"/>
      <c r="C5243" s="9" t="str">
        <f>C5242</f>
        <v>Show</v>
      </c>
      <c r="D5243" s="23"/>
      <c r="E5243" s="13"/>
      <c r="G5243" s="78" t="s">
        <v>121</v>
      </c>
      <c r="H5243" s="75" t="s">
        <v>2887</v>
      </c>
    </row>
    <row r="5244" spans="2:8" hidden="1" outlineLevel="1">
      <c r="B5244" s="76"/>
      <c r="C5244" s="9" t="str">
        <f>C5229</f>
        <v>Show</v>
      </c>
      <c r="D5244" s="23"/>
      <c r="E5244" s="13"/>
      <c r="G5244" s="78"/>
    </row>
    <row r="5245" spans="2:8" collapsed="1">
      <c r="B5245" s="23"/>
      <c r="C5245" s="2" t="str">
        <f>C5246</f>
        <v>Show</v>
      </c>
      <c r="D5245" s="60" t="s">
        <v>1241</v>
      </c>
      <c r="E5245" s="60"/>
      <c r="F5245" s="56" t="s">
        <v>605</v>
      </c>
      <c r="G5245" s="53"/>
      <c r="H5245" s="54"/>
    </row>
    <row r="5246" spans="2:8" hidden="1" outlineLevel="1">
      <c r="B5246" s="76"/>
      <c r="C5246" s="2" t="str">
        <f>IF((COUNTIF(C5250:C5252,"Show")+COUNTIF(C5255:C5256,"Show")+COUNTIF(C5259:C5260,"Show"))&gt;0,"Show","Hide")</f>
        <v>Show</v>
      </c>
      <c r="D5246" s="23" t="s">
        <v>117</v>
      </c>
      <c r="E5246" s="13"/>
      <c r="G5246" s="13"/>
    </row>
    <row r="5247" spans="2:8" hidden="1" outlineLevel="1">
      <c r="B5247" s="76"/>
      <c r="C5247" s="9" t="str">
        <f>C5246</f>
        <v>Show</v>
      </c>
      <c r="D5247" s="23"/>
      <c r="E5247" s="13">
        <v>1.1000000000000001</v>
      </c>
      <c r="F5247" s="11" t="s">
        <v>118</v>
      </c>
      <c r="G5247" s="13"/>
    </row>
    <row r="5248" spans="2:8" hidden="1" outlineLevel="1">
      <c r="B5248" s="76"/>
      <c r="C5248" s="9" t="str">
        <f>C5247</f>
        <v>Show</v>
      </c>
      <c r="D5248" s="23"/>
      <c r="E5248" s="13"/>
      <c r="F5248" s="70" t="s">
        <v>119</v>
      </c>
      <c r="G5248" s="18" t="s">
        <v>677</v>
      </c>
    </row>
    <row r="5249" spans="2:8" hidden="1" outlineLevel="1">
      <c r="B5249" s="76"/>
      <c r="C5249" s="9" t="str">
        <f>C5248</f>
        <v>Show</v>
      </c>
      <c r="D5249" s="23"/>
      <c r="E5249" s="13"/>
      <c r="F5249" s="70"/>
      <c r="G5249" s="78" t="s">
        <v>121</v>
      </c>
      <c r="H5249" s="79" t="s">
        <v>2301</v>
      </c>
    </row>
    <row r="5250" spans="2:8" hidden="1" outlineLevel="1">
      <c r="B5250" s="76"/>
      <c r="C5250" s="9" t="str">
        <f>IF(COUNTIF(C5251:C5252,"Show")&gt;0,"Show","Hide")</f>
        <v>Show</v>
      </c>
      <c r="D5250" s="23"/>
      <c r="E5250" s="13">
        <v>1.2</v>
      </c>
      <c r="F5250" s="71" t="s">
        <v>131</v>
      </c>
      <c r="G5250" s="78"/>
    </row>
    <row r="5251" spans="2:8" hidden="1" outlineLevel="1">
      <c r="B5251" s="76"/>
      <c r="C5251" t="str">
        <f>$D$5959</f>
        <v>Show</v>
      </c>
      <c r="D5251" s="23"/>
      <c r="E5251" s="13"/>
      <c r="F5251" s="70" t="s">
        <v>119</v>
      </c>
      <c r="G5251" s="12" t="s">
        <v>3466</v>
      </c>
    </row>
    <row r="5252" spans="2:8" hidden="1" outlineLevel="1">
      <c r="B5252" s="76"/>
      <c r="C5252" s="9" t="str">
        <f>C5251</f>
        <v>Show</v>
      </c>
      <c r="D5252" s="23"/>
      <c r="E5252" s="13"/>
      <c r="F5252" s="70"/>
      <c r="G5252" s="78" t="s">
        <v>121</v>
      </c>
      <c r="H5252" s="75" t="s">
        <v>2857</v>
      </c>
    </row>
    <row r="5253" spans="2:8" hidden="1" outlineLevel="1">
      <c r="B5253" s="76"/>
      <c r="C5253" s="9" t="str">
        <f>C5246</f>
        <v>Show</v>
      </c>
      <c r="D5253" s="23" t="s">
        <v>613</v>
      </c>
      <c r="E5253" s="13"/>
      <c r="G5253" s="13"/>
    </row>
    <row r="5254" spans="2:8" hidden="1" outlineLevel="1">
      <c r="B5254" s="76"/>
      <c r="C5254" s="9" t="str">
        <f>C5246</f>
        <v>Show</v>
      </c>
      <c r="D5254" s="23"/>
      <c r="E5254" s="12" t="str">
        <f>IF(COUNTIF(C5255:C5256,"Show")&gt;0,"2.1 Product Requirements","No EGC Requirements")</f>
        <v>2.1 Product Requirements</v>
      </c>
      <c r="G5254" s="13"/>
    </row>
    <row r="5255" spans="2:8" hidden="1" outlineLevel="1">
      <c r="B5255" s="76"/>
      <c r="C5255" t="str">
        <f>$E$5959</f>
        <v>Show</v>
      </c>
      <c r="D5255" s="23"/>
      <c r="E5255" s="12"/>
      <c r="F5255" s="70" t="s">
        <v>119</v>
      </c>
      <c r="G5255" s="12" t="s">
        <v>3466</v>
      </c>
    </row>
    <row r="5256" spans="2:8" hidden="1" outlineLevel="1">
      <c r="B5256" s="76"/>
      <c r="C5256" s="9" t="str">
        <f>C5255</f>
        <v>Show</v>
      </c>
      <c r="D5256" s="23"/>
      <c r="E5256" s="12"/>
      <c r="G5256" s="30" t="s">
        <v>121</v>
      </c>
      <c r="H5256" s="75" t="s">
        <v>2858</v>
      </c>
    </row>
    <row r="5257" spans="2:8" hidden="1" outlineLevel="1">
      <c r="B5257" s="76"/>
      <c r="C5257" s="9" t="str">
        <f>C5246</f>
        <v>Show</v>
      </c>
      <c r="D5257" s="23" t="s">
        <v>187</v>
      </c>
      <c r="E5257" s="13"/>
      <c r="G5257" s="13"/>
    </row>
    <row r="5258" spans="2:8" hidden="1" outlineLevel="1">
      <c r="B5258" s="76"/>
      <c r="C5258" s="9" t="str">
        <f>C5246</f>
        <v>Show</v>
      </c>
      <c r="D5258" s="23"/>
      <c r="E5258" s="12" t="str">
        <f>IF(COUNTIF(C5259:C5260,"Show")&gt;0,"3.1 Execution Requirements","No EGC Requirements")</f>
        <v>3.1 Execution Requirements</v>
      </c>
      <c r="G5258" s="13"/>
    </row>
    <row r="5259" spans="2:8" hidden="1" outlineLevel="1">
      <c r="B5259" s="76"/>
      <c r="C5259" t="str">
        <f>$F$5959</f>
        <v>Show</v>
      </c>
      <c r="D5259" s="23"/>
      <c r="E5259" s="13"/>
      <c r="F5259" s="70" t="s">
        <v>119</v>
      </c>
      <c r="G5259" s="12" t="s">
        <v>3466</v>
      </c>
    </row>
    <row r="5260" spans="2:8" hidden="1" outlineLevel="1">
      <c r="B5260" s="76"/>
      <c r="C5260" s="9" t="str">
        <f>C5259</f>
        <v>Show</v>
      </c>
      <c r="D5260" s="23"/>
      <c r="E5260" s="13"/>
      <c r="G5260" s="78" t="s">
        <v>121</v>
      </c>
      <c r="H5260" s="75" t="s">
        <v>2859</v>
      </c>
    </row>
    <row r="5261" spans="2:8" hidden="1" outlineLevel="1">
      <c r="B5261" s="76"/>
      <c r="C5261" s="9" t="str">
        <f>C5246</f>
        <v>Show</v>
      </c>
    </row>
    <row r="5262" spans="2:8" collapsed="1">
      <c r="B5262" s="76"/>
      <c r="C5262" s="7" t="s">
        <v>116</v>
      </c>
      <c r="E5262" s="132"/>
      <c r="F5262" s="12"/>
      <c r="G5262" s="69"/>
    </row>
    <row r="5263" spans="2:8">
      <c r="B5263" s="76"/>
      <c r="C5263" s="7" t="s">
        <v>116</v>
      </c>
      <c r="D5263" s="38" t="s">
        <v>562</v>
      </c>
      <c r="E5263" s="45"/>
      <c r="F5263" s="46"/>
      <c r="G5263" s="39"/>
      <c r="H5263" s="41"/>
    </row>
    <row r="5264" spans="2:8">
      <c r="B5264" s="23"/>
      <c r="C5264" s="2" t="str">
        <f>C5265</f>
        <v>Show</v>
      </c>
      <c r="D5264" s="60" t="s">
        <v>335</v>
      </c>
      <c r="E5264" s="60"/>
      <c r="F5264" s="56" t="s">
        <v>336</v>
      </c>
      <c r="G5264" s="59"/>
      <c r="H5264" s="58"/>
    </row>
    <row r="5265" spans="2:8" hidden="1" outlineLevel="1">
      <c r="B5265" s="76"/>
      <c r="C5265" s="2" t="str">
        <f>IF((COUNTIF(C5269:C5271,"Show")+COUNTIF(C5276:C5277,"Show"))&gt;0,"Show","Hide")</f>
        <v>Show</v>
      </c>
      <c r="D5265" s="23" t="s">
        <v>117</v>
      </c>
      <c r="E5265" s="13"/>
      <c r="G5265" s="13"/>
    </row>
    <row r="5266" spans="2:8" hidden="1" outlineLevel="1">
      <c r="B5266" s="76"/>
      <c r="C5266" s="9" t="str">
        <f>C5265</f>
        <v>Show</v>
      </c>
      <c r="D5266" s="23"/>
      <c r="E5266" s="13">
        <v>1.1000000000000001</v>
      </c>
      <c r="F5266" s="11" t="s">
        <v>118</v>
      </c>
      <c r="G5266" s="13"/>
    </row>
    <row r="5267" spans="2:8" hidden="1" outlineLevel="1">
      <c r="B5267" s="76"/>
      <c r="C5267" s="9" t="str">
        <f>C5266</f>
        <v>Show</v>
      </c>
      <c r="D5267" s="23"/>
      <c r="E5267" s="13"/>
      <c r="F5267" s="70" t="s">
        <v>119</v>
      </c>
      <c r="G5267" s="18" t="s">
        <v>677</v>
      </c>
    </row>
    <row r="5268" spans="2:8" hidden="1" outlineLevel="1">
      <c r="B5268" s="76"/>
      <c r="C5268" s="9" t="str">
        <f>C5267</f>
        <v>Show</v>
      </c>
      <c r="D5268" s="23"/>
      <c r="E5268" s="13"/>
      <c r="F5268" s="70"/>
      <c r="G5268" s="78" t="s">
        <v>121</v>
      </c>
      <c r="H5268" s="79" t="s">
        <v>2301</v>
      </c>
    </row>
    <row r="5269" spans="2:8" hidden="1" outlineLevel="1">
      <c r="B5269" s="76"/>
      <c r="C5269" s="9" t="str">
        <f>IF(COUNTIF(C5270:C5271,"Show")&gt;0,"Show","Hide")</f>
        <v>Show</v>
      </c>
      <c r="D5269" s="23"/>
      <c r="E5269" s="13">
        <v>1.2</v>
      </c>
      <c r="F5269" s="71" t="s">
        <v>131</v>
      </c>
      <c r="G5269" s="78"/>
    </row>
    <row r="5270" spans="2:8" hidden="1" outlineLevel="1">
      <c r="B5270" s="76"/>
      <c r="C5270" t="str">
        <f>$D$5945</f>
        <v>Show</v>
      </c>
      <c r="D5270" s="23"/>
      <c r="E5270" s="13"/>
      <c r="F5270" s="70" t="s">
        <v>119</v>
      </c>
      <c r="G5270" s="12" t="s">
        <v>3486</v>
      </c>
    </row>
    <row r="5271" spans="2:8" hidden="1" outlineLevel="1">
      <c r="B5271" s="76"/>
      <c r="C5271" s="9" t="str">
        <f>C5270</f>
        <v>Show</v>
      </c>
      <c r="D5271" s="23"/>
      <c r="E5271" s="13"/>
      <c r="F5271" s="70"/>
      <c r="G5271" s="78" t="s">
        <v>121</v>
      </c>
      <c r="H5271" s="75" t="s">
        <v>2270</v>
      </c>
    </row>
    <row r="5272" spans="2:8" hidden="1" outlineLevel="1">
      <c r="B5272" s="76"/>
      <c r="C5272" s="9" t="str">
        <f>C5265</f>
        <v>Show</v>
      </c>
      <c r="D5272" s="23" t="s">
        <v>613</v>
      </c>
      <c r="E5272" s="13"/>
      <c r="G5272" s="13"/>
    </row>
    <row r="5273" spans="2:8" hidden="1" outlineLevel="1">
      <c r="B5273" s="76"/>
      <c r="C5273" s="9" t="str">
        <f>C5265</f>
        <v>Show</v>
      </c>
      <c r="D5273" s="23"/>
      <c r="E5273" s="12" t="s">
        <v>2703</v>
      </c>
      <c r="G5273" s="13"/>
    </row>
    <row r="5274" spans="2:8" hidden="1" outlineLevel="1">
      <c r="B5274" s="76"/>
      <c r="C5274" s="9" t="str">
        <f>C5265</f>
        <v>Show</v>
      </c>
      <c r="D5274" s="23" t="s">
        <v>187</v>
      </c>
      <c r="E5274" s="13"/>
      <c r="G5274" s="13"/>
    </row>
    <row r="5275" spans="2:8" hidden="1" outlineLevel="1">
      <c r="B5275" s="76"/>
      <c r="C5275" s="9" t="str">
        <f>C5265</f>
        <v>Show</v>
      </c>
      <c r="D5275" s="23"/>
      <c r="E5275" s="12" t="str">
        <f>IF(COUNTIF(C5276:C5277,"Show")&gt;0,"3.1 Execution Requirements","No EGC Requirements")</f>
        <v>3.1 Execution Requirements</v>
      </c>
      <c r="G5275" s="13"/>
    </row>
    <row r="5276" spans="2:8" hidden="1" outlineLevel="1">
      <c r="B5276" s="76"/>
      <c r="C5276" t="str">
        <f>$F$5945</f>
        <v>Show</v>
      </c>
      <c r="D5276" s="23"/>
      <c r="E5276" s="13"/>
      <c r="F5276" s="70" t="s">
        <v>119</v>
      </c>
      <c r="G5276" s="12" t="s">
        <v>3486</v>
      </c>
    </row>
    <row r="5277" spans="2:8" hidden="1" outlineLevel="1">
      <c r="B5277" s="76"/>
      <c r="C5277" s="9" t="str">
        <f>C5276</f>
        <v>Show</v>
      </c>
      <c r="D5277" s="23"/>
      <c r="E5277" s="13"/>
      <c r="G5277" s="78" t="s">
        <v>121</v>
      </c>
      <c r="H5277" s="75" t="s">
        <v>683</v>
      </c>
    </row>
    <row r="5278" spans="2:8" hidden="1" outlineLevel="1">
      <c r="B5278" s="76"/>
      <c r="C5278" s="9" t="str">
        <f>C5265</f>
        <v>Show</v>
      </c>
    </row>
    <row r="5279" spans="2:8" collapsed="1">
      <c r="B5279" s="23"/>
      <c r="C5279" s="2" t="str">
        <f>C5280</f>
        <v>Show</v>
      </c>
      <c r="D5279" s="55" t="s">
        <v>337</v>
      </c>
      <c r="E5279" s="55"/>
      <c r="F5279" s="57" t="s">
        <v>575</v>
      </c>
      <c r="G5279" s="59"/>
      <c r="H5279" s="58"/>
    </row>
    <row r="5280" spans="2:8" hidden="1" outlineLevel="1">
      <c r="B5280" s="76"/>
      <c r="C5280" s="2" t="str">
        <f>IF((COUNTIF(C5284:C5286,"Show")+COUNTIF(C5291:C5292,"Show"))&gt;0,"Show","Hide")</f>
        <v>Show</v>
      </c>
      <c r="D5280" s="23" t="s">
        <v>117</v>
      </c>
      <c r="E5280" s="13"/>
      <c r="G5280" s="13"/>
    </row>
    <row r="5281" spans="2:8" hidden="1" outlineLevel="1">
      <c r="B5281" s="76"/>
      <c r="C5281" s="9" t="str">
        <f>C5280</f>
        <v>Show</v>
      </c>
      <c r="D5281" s="23"/>
      <c r="E5281" s="13">
        <v>1.1000000000000001</v>
      </c>
      <c r="F5281" s="11" t="s">
        <v>118</v>
      </c>
      <c r="G5281" s="13"/>
    </row>
    <row r="5282" spans="2:8" hidden="1" outlineLevel="1">
      <c r="B5282" s="76"/>
      <c r="C5282" s="9" t="str">
        <f>C5281</f>
        <v>Show</v>
      </c>
      <c r="D5282" s="23"/>
      <c r="E5282" s="13"/>
      <c r="F5282" s="70" t="s">
        <v>119</v>
      </c>
      <c r="G5282" s="18" t="s">
        <v>677</v>
      </c>
    </row>
    <row r="5283" spans="2:8" hidden="1" outlineLevel="1">
      <c r="B5283" s="76"/>
      <c r="C5283" s="9" t="str">
        <f>C5282</f>
        <v>Show</v>
      </c>
      <c r="D5283" s="23"/>
      <c r="E5283" s="13"/>
      <c r="F5283" s="70"/>
      <c r="G5283" s="78" t="s">
        <v>121</v>
      </c>
      <c r="H5283" s="79" t="s">
        <v>2301</v>
      </c>
    </row>
    <row r="5284" spans="2:8" hidden="1" outlineLevel="1">
      <c r="B5284" s="76"/>
      <c r="C5284" s="9" t="str">
        <f>IF(COUNTIF(C5285:C5286,"Show")&gt;0,"Show","Hide")</f>
        <v>Show</v>
      </c>
      <c r="D5284" s="23"/>
      <c r="E5284" s="13">
        <v>1.2</v>
      </c>
      <c r="F5284" s="71" t="s">
        <v>131</v>
      </c>
      <c r="G5284" s="78"/>
    </row>
    <row r="5285" spans="2:8" hidden="1" outlineLevel="1">
      <c r="B5285" s="76"/>
      <c r="C5285" t="str">
        <f>$D$5978</f>
        <v>Show</v>
      </c>
      <c r="D5285" s="23"/>
      <c r="E5285" s="13"/>
      <c r="F5285" s="70" t="s">
        <v>119</v>
      </c>
      <c r="G5285" s="12" t="s">
        <v>3487</v>
      </c>
    </row>
    <row r="5286" spans="2:8" hidden="1" outlineLevel="1">
      <c r="B5286" s="76"/>
      <c r="C5286" s="9" t="str">
        <f>C5285</f>
        <v>Show</v>
      </c>
      <c r="D5286" s="23"/>
      <c r="E5286" s="13"/>
      <c r="F5286" s="70"/>
      <c r="G5286" s="78" t="s">
        <v>121</v>
      </c>
      <c r="H5286" s="75" t="s">
        <v>2309</v>
      </c>
    </row>
    <row r="5287" spans="2:8" hidden="1" outlineLevel="1">
      <c r="B5287" s="76"/>
      <c r="C5287" s="9" t="str">
        <f>C5280</f>
        <v>Show</v>
      </c>
      <c r="D5287" s="23" t="s">
        <v>613</v>
      </c>
      <c r="E5287" s="13"/>
      <c r="G5287" s="13"/>
    </row>
    <row r="5288" spans="2:8" hidden="1" outlineLevel="1">
      <c r="B5288" s="76"/>
      <c r="C5288" s="9" t="str">
        <f>C5280</f>
        <v>Show</v>
      </c>
      <c r="D5288" s="23"/>
      <c r="E5288" s="12" t="s">
        <v>2703</v>
      </c>
      <c r="G5288" s="13"/>
    </row>
    <row r="5289" spans="2:8" hidden="1" outlineLevel="1">
      <c r="B5289" s="76"/>
      <c r="C5289" s="9" t="str">
        <f>C5280</f>
        <v>Show</v>
      </c>
      <c r="D5289" s="23" t="s">
        <v>187</v>
      </c>
      <c r="E5289" s="13"/>
      <c r="G5289" s="13"/>
    </row>
    <row r="5290" spans="2:8" hidden="1" outlineLevel="1">
      <c r="B5290" s="76"/>
      <c r="C5290" s="9" t="str">
        <f>C5280</f>
        <v>Show</v>
      </c>
      <c r="D5290" s="23"/>
      <c r="E5290" s="12" t="str">
        <f>IF(COUNTIF(C5291:C5292,"Show")&gt;0,"3.1 Execution Requirements","No EGC Requirements")</f>
        <v>3.1 Execution Requirements</v>
      </c>
      <c r="G5290" s="13"/>
    </row>
    <row r="5291" spans="2:8" hidden="1" outlineLevel="1">
      <c r="B5291" s="76"/>
      <c r="C5291" t="str">
        <f>$F$5978</f>
        <v>Show</v>
      </c>
      <c r="D5291" s="23"/>
      <c r="E5291" s="13"/>
      <c r="F5291" s="70" t="s">
        <v>119</v>
      </c>
      <c r="G5291" s="12" t="s">
        <v>3487</v>
      </c>
    </row>
    <row r="5292" spans="2:8" hidden="1" outlineLevel="1">
      <c r="B5292" s="76"/>
      <c r="C5292" s="9" t="str">
        <f>C5291</f>
        <v>Show</v>
      </c>
      <c r="D5292" s="23"/>
      <c r="E5292" s="13"/>
      <c r="G5292" s="78" t="s">
        <v>121</v>
      </c>
      <c r="H5292" s="75" t="s">
        <v>2310</v>
      </c>
    </row>
    <row r="5293" spans="2:8" hidden="1" outlineLevel="1">
      <c r="B5293" s="76"/>
      <c r="C5293" s="9" t="str">
        <f>C5280</f>
        <v>Show</v>
      </c>
    </row>
    <row r="5294" spans="2:8" collapsed="1">
      <c r="B5294" s="23"/>
      <c r="C5294" s="2" t="str">
        <f>C5295</f>
        <v>Show</v>
      </c>
      <c r="D5294" s="60" t="s">
        <v>338</v>
      </c>
      <c r="E5294" s="60"/>
      <c r="F5294" s="56" t="s">
        <v>580</v>
      </c>
      <c r="G5294" s="59"/>
      <c r="H5294" s="58"/>
    </row>
    <row r="5295" spans="2:8" hidden="1" outlineLevel="1">
      <c r="B5295" s="76"/>
      <c r="C5295" s="2" t="str">
        <f>IF((COUNTIF(C5299:C5301,"Show")+COUNTIF(C5306:C5307,"Show"))&gt;0,"Show","Hide")</f>
        <v>Show</v>
      </c>
      <c r="D5295" s="23" t="s">
        <v>117</v>
      </c>
      <c r="E5295" s="13"/>
      <c r="G5295" s="13"/>
    </row>
    <row r="5296" spans="2:8" hidden="1" outlineLevel="1">
      <c r="B5296" s="76"/>
      <c r="C5296" s="9" t="str">
        <f>C5295</f>
        <v>Show</v>
      </c>
      <c r="D5296" s="23"/>
      <c r="E5296" s="13">
        <v>1.1000000000000001</v>
      </c>
      <c r="F5296" s="11" t="s">
        <v>118</v>
      </c>
      <c r="G5296" s="13"/>
    </row>
    <row r="5297" spans="2:8" hidden="1" outlineLevel="1">
      <c r="B5297" s="76"/>
      <c r="C5297" s="9" t="str">
        <f>C5296</f>
        <v>Show</v>
      </c>
      <c r="D5297" s="23"/>
      <c r="E5297" s="13"/>
      <c r="F5297" s="70" t="s">
        <v>119</v>
      </c>
      <c r="G5297" s="18" t="s">
        <v>677</v>
      </c>
    </row>
    <row r="5298" spans="2:8" hidden="1" outlineLevel="1">
      <c r="B5298" s="76"/>
      <c r="C5298" s="9" t="str">
        <f>C5297</f>
        <v>Show</v>
      </c>
      <c r="D5298" s="23"/>
      <c r="E5298" s="13"/>
      <c r="F5298" s="70"/>
      <c r="G5298" s="78" t="s">
        <v>121</v>
      </c>
      <c r="H5298" s="79" t="s">
        <v>2301</v>
      </c>
    </row>
    <row r="5299" spans="2:8" hidden="1" outlineLevel="1">
      <c r="B5299" s="76"/>
      <c r="C5299" s="9" t="str">
        <f>IF(COUNTIF(C5300:C5301,"Show")&gt;0,"Show","Hide")</f>
        <v>Show</v>
      </c>
      <c r="D5299" s="23"/>
      <c r="E5299" s="13">
        <v>1.2</v>
      </c>
      <c r="F5299" s="71" t="s">
        <v>131</v>
      </c>
      <c r="G5299" s="78"/>
    </row>
    <row r="5300" spans="2:8" hidden="1" outlineLevel="1">
      <c r="B5300" s="76"/>
      <c r="C5300" t="str">
        <f>$D$5945</f>
        <v>Show</v>
      </c>
      <c r="D5300" s="23"/>
      <c r="E5300" s="13"/>
      <c r="F5300" s="70" t="s">
        <v>119</v>
      </c>
      <c r="G5300" s="12" t="s">
        <v>3486</v>
      </c>
    </row>
    <row r="5301" spans="2:8" hidden="1" outlineLevel="1">
      <c r="B5301" s="76"/>
      <c r="C5301" s="9" t="str">
        <f>C5300</f>
        <v>Show</v>
      </c>
      <c r="D5301" s="23"/>
      <c r="E5301" s="13"/>
      <c r="F5301" s="70"/>
      <c r="G5301" s="78" t="s">
        <v>121</v>
      </c>
      <c r="H5301" s="75" t="s">
        <v>2270</v>
      </c>
    </row>
    <row r="5302" spans="2:8" hidden="1" outlineLevel="1">
      <c r="B5302" s="76"/>
      <c r="C5302" s="9" t="str">
        <f>C5295</f>
        <v>Show</v>
      </c>
      <c r="D5302" s="23" t="s">
        <v>613</v>
      </c>
      <c r="E5302" s="13"/>
      <c r="G5302" s="13"/>
    </row>
    <row r="5303" spans="2:8" hidden="1" outlineLevel="1">
      <c r="B5303" s="76"/>
      <c r="C5303" s="9" t="str">
        <f>C5295</f>
        <v>Show</v>
      </c>
      <c r="D5303" s="23"/>
      <c r="E5303" s="12" t="s">
        <v>2703</v>
      </c>
      <c r="G5303" s="13"/>
    </row>
    <row r="5304" spans="2:8" hidden="1" outlineLevel="1">
      <c r="B5304" s="76"/>
      <c r="C5304" s="9" t="str">
        <f>C5295</f>
        <v>Show</v>
      </c>
      <c r="D5304" s="23" t="s">
        <v>187</v>
      </c>
      <c r="E5304" s="13"/>
      <c r="G5304" s="13"/>
    </row>
    <row r="5305" spans="2:8" hidden="1" outlineLevel="1">
      <c r="B5305" s="76"/>
      <c r="C5305" s="9" t="str">
        <f>C5295</f>
        <v>Show</v>
      </c>
      <c r="D5305" s="23"/>
      <c r="E5305" s="12" t="str">
        <f>IF(COUNTIF(C5306:C5307,"Show")&gt;0,"3.1 Execution Requirements","No EGC Requirements")</f>
        <v>3.1 Execution Requirements</v>
      </c>
      <c r="G5305" s="13"/>
    </row>
    <row r="5306" spans="2:8" hidden="1" outlineLevel="1">
      <c r="B5306" s="76"/>
      <c r="C5306" t="str">
        <f>$F$5945</f>
        <v>Show</v>
      </c>
      <c r="D5306" s="23"/>
      <c r="E5306" s="13"/>
      <c r="F5306" s="70" t="s">
        <v>119</v>
      </c>
      <c r="G5306" s="12" t="s">
        <v>3486</v>
      </c>
    </row>
    <row r="5307" spans="2:8" hidden="1" outlineLevel="1">
      <c r="B5307" s="76"/>
      <c r="C5307" s="9" t="str">
        <f>C5306</f>
        <v>Show</v>
      </c>
      <c r="D5307" s="23"/>
      <c r="E5307" s="13"/>
      <c r="G5307" s="78" t="s">
        <v>121</v>
      </c>
      <c r="H5307" s="75" t="s">
        <v>683</v>
      </c>
    </row>
    <row r="5308" spans="2:8" hidden="1" outlineLevel="1">
      <c r="B5308" s="76"/>
      <c r="C5308" s="9" t="str">
        <f>C5295</f>
        <v>Show</v>
      </c>
    </row>
    <row r="5309" spans="2:8" collapsed="1">
      <c r="B5309" s="76"/>
      <c r="C5309" s="7" t="str">
        <f>C5310</f>
        <v>Show</v>
      </c>
      <c r="D5309" s="55" t="s">
        <v>1738</v>
      </c>
      <c r="E5309" s="55"/>
      <c r="F5309" s="57" t="s">
        <v>1737</v>
      </c>
      <c r="G5309" s="61"/>
      <c r="H5309" s="58"/>
    </row>
    <row r="5310" spans="2:8" hidden="1" outlineLevel="1">
      <c r="B5310" s="76"/>
      <c r="C5310" s="2" t="str">
        <f>IF((COUNTIF(C5314:C5318,"Show")+COUNTIF(C5321:C5322,"Show")+COUNTIF(C5325:C5326,"Show"))&gt;0,"Show","Hide")</f>
        <v>Show</v>
      </c>
      <c r="D5310" s="23" t="s">
        <v>117</v>
      </c>
      <c r="E5310" s="13"/>
      <c r="G5310" s="13"/>
    </row>
    <row r="5311" spans="2:8" hidden="1" outlineLevel="1">
      <c r="B5311" s="76"/>
      <c r="C5311" s="9" t="str">
        <f>C5310</f>
        <v>Show</v>
      </c>
      <c r="D5311" s="23"/>
      <c r="E5311" s="13">
        <v>1.1000000000000001</v>
      </c>
      <c r="F5311" s="11" t="s">
        <v>118</v>
      </c>
      <c r="G5311" s="13"/>
    </row>
    <row r="5312" spans="2:8" hidden="1" outlineLevel="1">
      <c r="B5312" s="76"/>
      <c r="C5312" s="9" t="str">
        <f>C5311</f>
        <v>Show</v>
      </c>
      <c r="D5312" s="23"/>
      <c r="E5312" s="13"/>
      <c r="F5312" s="70" t="s">
        <v>119</v>
      </c>
      <c r="G5312" s="18" t="s">
        <v>677</v>
      </c>
    </row>
    <row r="5313" spans="2:8" hidden="1" outlineLevel="1">
      <c r="B5313" s="76"/>
      <c r="C5313" s="9" t="str">
        <f>C5312</f>
        <v>Show</v>
      </c>
      <c r="D5313" s="23"/>
      <c r="E5313" s="13"/>
      <c r="F5313" s="70"/>
      <c r="G5313" s="78" t="s">
        <v>121</v>
      </c>
      <c r="H5313" s="79" t="s">
        <v>2301</v>
      </c>
    </row>
    <row r="5314" spans="2:8" hidden="1" outlineLevel="1">
      <c r="B5314" s="76"/>
      <c r="C5314" s="9" t="str">
        <f>IF(COUNTIF(C5315:C5318,"Show")&gt;0,"Show","Hide")</f>
        <v>Show</v>
      </c>
      <c r="D5314" s="23"/>
      <c r="E5314" s="13">
        <v>1.2</v>
      </c>
      <c r="F5314" s="71" t="s">
        <v>131</v>
      </c>
      <c r="G5314" s="78"/>
    </row>
    <row r="5315" spans="2:8" hidden="1" outlineLevel="1">
      <c r="B5315" s="76"/>
      <c r="C5315" t="str">
        <f>$D$5992</f>
        <v>Show</v>
      </c>
      <c r="D5315" s="23"/>
      <c r="E5315" s="13"/>
      <c r="F5315" s="70" t="s">
        <v>119</v>
      </c>
      <c r="G5315" s="12" t="s">
        <v>3447</v>
      </c>
    </row>
    <row r="5316" spans="2:8" ht="30" hidden="1" outlineLevel="1">
      <c r="B5316" s="76"/>
      <c r="C5316" s="9" t="str">
        <f>C5315</f>
        <v>Show</v>
      </c>
      <c r="D5316" s="23"/>
      <c r="E5316" s="13"/>
      <c r="F5316" s="71"/>
      <c r="G5316" s="78" t="s">
        <v>121</v>
      </c>
      <c r="H5316" s="75" t="s">
        <v>2923</v>
      </c>
    </row>
    <row r="5317" spans="2:8" hidden="1" outlineLevel="1">
      <c r="B5317" s="76"/>
      <c r="C5317" t="str">
        <f>$D$5994</f>
        <v>Show</v>
      </c>
      <c r="D5317" s="23"/>
      <c r="E5317" s="13"/>
      <c r="F5317" s="70" t="str">
        <f>CHAR(65+(COUNTIF(C$5315:C5316,"Show")/2))&amp;"."</f>
        <v>B.</v>
      </c>
      <c r="G5317" s="12" t="s">
        <v>3459</v>
      </c>
    </row>
    <row r="5318" spans="2:8" hidden="1" outlineLevel="1">
      <c r="B5318" s="76"/>
      <c r="C5318" s="9" t="str">
        <f>C5317</f>
        <v>Show</v>
      </c>
      <c r="D5318" s="23"/>
      <c r="E5318" s="13"/>
      <c r="F5318" s="70"/>
      <c r="G5318" s="78" t="s">
        <v>121</v>
      </c>
      <c r="H5318" s="75" t="s">
        <v>2810</v>
      </c>
    </row>
    <row r="5319" spans="2:8" hidden="1" outlineLevel="1">
      <c r="B5319" s="76"/>
      <c r="C5319" s="9" t="str">
        <f>C5310</f>
        <v>Show</v>
      </c>
      <c r="D5319" s="23" t="s">
        <v>613</v>
      </c>
      <c r="E5319" s="13"/>
      <c r="G5319" s="13"/>
    </row>
    <row r="5320" spans="2:8" hidden="1" outlineLevel="1">
      <c r="B5320" s="76"/>
      <c r="C5320" s="9" t="str">
        <f>C5310</f>
        <v>Show</v>
      </c>
      <c r="D5320" s="23"/>
      <c r="E5320" s="12" t="str">
        <f>IF(COUNTIF(C5321:C5322,"Show")&gt;0,"2.1 Product Requirements","No EGC Requirements")</f>
        <v>2.1 Product Requirements</v>
      </c>
      <c r="G5320" s="13"/>
    </row>
    <row r="5321" spans="2:8" hidden="1" outlineLevel="1">
      <c r="B5321" s="76"/>
      <c r="C5321" t="str">
        <f>$E$5994</f>
        <v>Show</v>
      </c>
      <c r="D5321" s="23"/>
      <c r="E5321" s="12"/>
      <c r="F5321" s="70" t="s">
        <v>119</v>
      </c>
      <c r="G5321" s="12" t="s">
        <v>3459</v>
      </c>
    </row>
    <row r="5322" spans="2:8" hidden="1" outlineLevel="1">
      <c r="B5322" s="76"/>
      <c r="C5322" s="9" t="str">
        <f>C5321</f>
        <v>Show</v>
      </c>
      <c r="D5322" s="23"/>
      <c r="E5322" s="12"/>
      <c r="G5322" s="78" t="s">
        <v>121</v>
      </c>
      <c r="H5322" s="75" t="s">
        <v>2809</v>
      </c>
    </row>
    <row r="5323" spans="2:8" hidden="1" outlineLevel="1">
      <c r="B5323" s="76"/>
      <c r="C5323" s="9" t="str">
        <f>C5310</f>
        <v>Show</v>
      </c>
      <c r="D5323" s="23" t="s">
        <v>187</v>
      </c>
      <c r="E5323" s="13"/>
      <c r="G5323" s="13"/>
    </row>
    <row r="5324" spans="2:8" hidden="1" outlineLevel="1">
      <c r="B5324" s="76"/>
      <c r="C5324" s="9" t="str">
        <f>C5310</f>
        <v>Show</v>
      </c>
      <c r="D5324" s="23"/>
      <c r="E5324" s="12" t="str">
        <f>IF(COUNTIF(C5325:C5326,"Show")&gt;0,"3.1 Execution Requirements","No EGC Requirements")</f>
        <v>3.1 Execution Requirements</v>
      </c>
      <c r="G5324" s="13"/>
    </row>
    <row r="5325" spans="2:8" hidden="1" outlineLevel="1">
      <c r="B5325" s="76"/>
      <c r="C5325" t="str">
        <f>$F$5992</f>
        <v>Show</v>
      </c>
      <c r="D5325" s="23"/>
      <c r="E5325" s="13"/>
      <c r="F5325" s="70" t="s">
        <v>119</v>
      </c>
      <c r="G5325" s="12" t="s">
        <v>3447</v>
      </c>
    </row>
    <row r="5326" spans="2:8" ht="30" hidden="1" outlineLevel="1">
      <c r="B5326" s="76"/>
      <c r="C5326" s="9" t="str">
        <f>C5325</f>
        <v>Show</v>
      </c>
      <c r="D5326" s="23"/>
      <c r="E5326" s="13"/>
      <c r="G5326" s="78" t="s">
        <v>121</v>
      </c>
      <c r="H5326" s="75" t="s">
        <v>2924</v>
      </c>
    </row>
    <row r="5327" spans="2:8" hidden="1" outlineLevel="1">
      <c r="B5327" s="76"/>
      <c r="C5327" s="9" t="str">
        <f>C5310</f>
        <v>Show</v>
      </c>
      <c r="D5327" s="23"/>
      <c r="E5327" s="13"/>
      <c r="G5327" s="78"/>
    </row>
    <row r="5328" spans="2:8" collapsed="1">
      <c r="B5328" s="76"/>
      <c r="C5328" s="7" t="s">
        <v>116</v>
      </c>
      <c r="D5328" s="23"/>
      <c r="E5328" s="13"/>
      <c r="G5328" s="78"/>
    </row>
    <row r="5329" spans="2:8">
      <c r="B5329" s="76"/>
      <c r="C5329" s="7" t="s">
        <v>116</v>
      </c>
      <c r="D5329" s="38" t="s">
        <v>563</v>
      </c>
      <c r="E5329" s="45"/>
      <c r="F5329" s="46"/>
      <c r="G5329" s="39"/>
      <c r="H5329" s="41"/>
    </row>
    <row r="5330" spans="2:8">
      <c r="B5330" s="77"/>
      <c r="C5330" s="7" t="str">
        <f>C5331</f>
        <v>Show</v>
      </c>
      <c r="D5330" s="60" t="s">
        <v>1232</v>
      </c>
      <c r="E5330" s="60"/>
      <c r="F5330" s="56" t="s">
        <v>597</v>
      </c>
      <c r="G5330" s="59"/>
      <c r="H5330" s="54"/>
    </row>
    <row r="5331" spans="2:8" hidden="1" outlineLevel="1">
      <c r="B5331" s="12" t="s">
        <v>2697</v>
      </c>
      <c r="C5331" s="2" t="str">
        <f>IF((COUNTIF(C5335:C5341,"Show")+COUNTIF(C5344:C5349,"Show")+COUNTIF(C5352:C5357,"Show"))&gt;0,"Show","Hide")</f>
        <v>Show</v>
      </c>
      <c r="D5331" s="23" t="s">
        <v>117</v>
      </c>
      <c r="E5331" s="13"/>
      <c r="G5331" s="13"/>
    </row>
    <row r="5332" spans="2:8" hidden="1" outlineLevel="1">
      <c r="B5332" s="12" t="s">
        <v>2697</v>
      </c>
      <c r="C5332" s="9" t="str">
        <f>C5331</f>
        <v>Show</v>
      </c>
      <c r="D5332" s="23"/>
      <c r="E5332" s="13">
        <v>1.1000000000000001</v>
      </c>
      <c r="F5332" s="11" t="s">
        <v>118</v>
      </c>
      <c r="G5332" s="13"/>
    </row>
    <row r="5333" spans="2:8" hidden="1" outlineLevel="1">
      <c r="B5333" s="12" t="s">
        <v>2697</v>
      </c>
      <c r="C5333" s="9" t="str">
        <f>C5332</f>
        <v>Show</v>
      </c>
      <c r="D5333" s="23"/>
      <c r="E5333" s="13"/>
      <c r="F5333" s="70" t="s">
        <v>119</v>
      </c>
      <c r="G5333" s="18" t="s">
        <v>677</v>
      </c>
    </row>
    <row r="5334" spans="2:8" hidden="1" outlineLevel="1">
      <c r="B5334" s="12" t="s">
        <v>2697</v>
      </c>
      <c r="C5334" s="9" t="str">
        <f>C5333</f>
        <v>Show</v>
      </c>
      <c r="D5334" s="23"/>
      <c r="E5334" s="13"/>
      <c r="F5334" s="70"/>
      <c r="G5334" s="78" t="s">
        <v>121</v>
      </c>
      <c r="H5334" s="79" t="s">
        <v>2301</v>
      </c>
    </row>
    <row r="5335" spans="2:8" hidden="1" outlineLevel="1">
      <c r="B5335" s="12" t="s">
        <v>2697</v>
      </c>
      <c r="C5335" s="9" t="str">
        <f>IF(COUNTIF(C5336:C5341,"Show")&gt;0,"Show","Hide")</f>
        <v>Show</v>
      </c>
      <c r="D5335" s="23"/>
      <c r="E5335" s="13">
        <v>1.2</v>
      </c>
      <c r="F5335" s="71" t="s">
        <v>131</v>
      </c>
      <c r="G5335" s="78"/>
    </row>
    <row r="5336" spans="2:8" hidden="1" outlineLevel="1">
      <c r="B5336" s="12" t="s">
        <v>2697</v>
      </c>
      <c r="C5336" t="str">
        <f>$D$5952</f>
        <v>Show</v>
      </c>
      <c r="D5336" s="23"/>
      <c r="E5336" s="13"/>
      <c r="F5336" s="70" t="s">
        <v>119</v>
      </c>
      <c r="G5336" s="12" t="s">
        <v>3452</v>
      </c>
    </row>
    <row r="5337" spans="2:8" hidden="1" outlineLevel="1">
      <c r="B5337" s="12" t="s">
        <v>2697</v>
      </c>
      <c r="C5337" s="9" t="str">
        <f>C5336</f>
        <v>Show</v>
      </c>
      <c r="D5337" s="23"/>
      <c r="E5337" s="13"/>
      <c r="G5337" s="78" t="s">
        <v>121</v>
      </c>
      <c r="H5337" s="75" t="s">
        <v>2771</v>
      </c>
    </row>
    <row r="5338" spans="2:8" hidden="1" outlineLevel="1">
      <c r="B5338" s="12" t="s">
        <v>2697</v>
      </c>
      <c r="C5338" t="str">
        <f>$D$5955</f>
        <v>Show</v>
      </c>
      <c r="D5338" s="23"/>
      <c r="E5338" s="13"/>
      <c r="F5338" s="70" t="str">
        <f>CHAR(65+(COUNTIF(C$5336:C5337,"Show")/2))&amp;"."</f>
        <v>B.</v>
      </c>
      <c r="G5338" s="12" t="s">
        <v>3435</v>
      </c>
    </row>
    <row r="5339" spans="2:8" hidden="1" outlineLevel="1">
      <c r="B5339" s="12" t="s">
        <v>2697</v>
      </c>
      <c r="C5339" s="9" t="str">
        <f>C5338</f>
        <v>Show</v>
      </c>
      <c r="D5339" s="23"/>
      <c r="E5339" s="13"/>
      <c r="F5339" s="70"/>
      <c r="G5339" s="78" t="s">
        <v>121</v>
      </c>
      <c r="H5339" s="75" t="s">
        <v>2538</v>
      </c>
    </row>
    <row r="5340" spans="2:8" hidden="1" outlineLevel="1">
      <c r="B5340" s="12" t="s">
        <v>2697</v>
      </c>
      <c r="C5340" t="str">
        <f>$D$5974</f>
        <v>Show</v>
      </c>
      <c r="D5340" s="23"/>
      <c r="E5340" s="13"/>
      <c r="F5340" s="70" t="str">
        <f>CHAR(65+(COUNTIF(C$5336:C5339,"Show")/2))&amp;"."</f>
        <v>C.</v>
      </c>
      <c r="G5340" s="12" t="s">
        <v>3407</v>
      </c>
    </row>
    <row r="5341" spans="2:8" ht="30" hidden="1" outlineLevel="1">
      <c r="B5341" s="12" t="s">
        <v>2697</v>
      </c>
      <c r="C5341" s="9" t="str">
        <f>C5340</f>
        <v>Show</v>
      </c>
      <c r="D5341" s="23"/>
      <c r="E5341" s="13"/>
      <c r="F5341" s="70"/>
      <c r="G5341" s="78" t="s">
        <v>121</v>
      </c>
      <c r="H5341" s="75" t="s">
        <v>2844</v>
      </c>
    </row>
    <row r="5342" spans="2:8" hidden="1" outlineLevel="1">
      <c r="B5342" s="12" t="s">
        <v>2697</v>
      </c>
      <c r="C5342" s="9" t="str">
        <f>C5331</f>
        <v>Show</v>
      </c>
      <c r="D5342" s="23" t="s">
        <v>613</v>
      </c>
      <c r="E5342" s="13"/>
      <c r="G5342" s="13"/>
    </row>
    <row r="5343" spans="2:8" hidden="1" outlineLevel="1">
      <c r="B5343" s="12" t="s">
        <v>2697</v>
      </c>
      <c r="C5343" s="9" t="str">
        <f>C5331</f>
        <v>Show</v>
      </c>
      <c r="D5343" s="23"/>
      <c r="E5343" s="12" t="str">
        <f>IF(COUNTIF(C5344:C5349,"Show")&gt;0,"2.1 Product Requirements","No EGC Requirements")</f>
        <v>2.1 Product Requirements</v>
      </c>
      <c r="G5343" s="13"/>
    </row>
    <row r="5344" spans="2:8" hidden="1" outlineLevel="1">
      <c r="B5344" s="12" t="s">
        <v>2697</v>
      </c>
      <c r="C5344" t="str">
        <f>$E$5952</f>
        <v>Show</v>
      </c>
      <c r="D5344" s="23"/>
      <c r="E5344" s="12"/>
      <c r="F5344" s="70" t="s">
        <v>119</v>
      </c>
      <c r="G5344" s="12" t="s">
        <v>3452</v>
      </c>
    </row>
    <row r="5345" spans="2:8" hidden="1" outlineLevel="1">
      <c r="B5345" s="12" t="s">
        <v>2697</v>
      </c>
      <c r="C5345" s="9" t="str">
        <f>C5344</f>
        <v>Show</v>
      </c>
      <c r="D5345" s="23"/>
      <c r="E5345" s="12"/>
      <c r="G5345" s="30" t="s">
        <v>121</v>
      </c>
      <c r="H5345" s="75" t="s">
        <v>2772</v>
      </c>
    </row>
    <row r="5346" spans="2:8" hidden="1" outlineLevel="1">
      <c r="B5346" s="12" t="s">
        <v>2697</v>
      </c>
      <c r="C5346" t="str">
        <f>$E$5955</f>
        <v>Show</v>
      </c>
      <c r="D5346" s="23"/>
      <c r="E5346" s="12"/>
      <c r="F5346" s="70" t="str">
        <f>CHAR(65+(COUNTIF(C$5344:C5345,"Show")/2))&amp;"."</f>
        <v>B.</v>
      </c>
      <c r="G5346" s="12" t="s">
        <v>3435</v>
      </c>
    </row>
    <row r="5347" spans="2:8" hidden="1" outlineLevel="1">
      <c r="B5347" s="12" t="s">
        <v>2697</v>
      </c>
      <c r="C5347" s="9" t="str">
        <f>C5346</f>
        <v>Show</v>
      </c>
      <c r="D5347" s="23"/>
      <c r="E5347" s="12"/>
      <c r="F5347" s="70"/>
      <c r="G5347" s="30" t="s">
        <v>121</v>
      </c>
      <c r="H5347" s="75" t="s">
        <v>2539</v>
      </c>
    </row>
    <row r="5348" spans="2:8" hidden="1" outlineLevel="1">
      <c r="B5348" s="12" t="s">
        <v>2697</v>
      </c>
      <c r="C5348" t="str">
        <f>$E$5974</f>
        <v>Show</v>
      </c>
      <c r="D5348" s="23"/>
      <c r="E5348" s="12"/>
      <c r="F5348" s="70" t="str">
        <f>CHAR(65+(COUNTIF(C$5344:C5347,"Show")/2))&amp;"."</f>
        <v>C.</v>
      </c>
      <c r="G5348" s="12" t="s">
        <v>3407</v>
      </c>
    </row>
    <row r="5349" spans="2:8" ht="30" hidden="1" outlineLevel="1">
      <c r="B5349" s="12" t="s">
        <v>2697</v>
      </c>
      <c r="C5349" s="9" t="str">
        <f>C5348</f>
        <v>Show</v>
      </c>
      <c r="D5349" s="23"/>
      <c r="E5349" s="12"/>
      <c r="G5349" s="30" t="s">
        <v>121</v>
      </c>
      <c r="H5349" s="75" t="s">
        <v>2845</v>
      </c>
    </row>
    <row r="5350" spans="2:8" hidden="1" outlineLevel="1">
      <c r="B5350" s="12" t="s">
        <v>2697</v>
      </c>
      <c r="C5350" s="9" t="str">
        <f>C5331</f>
        <v>Show</v>
      </c>
      <c r="D5350" s="23" t="s">
        <v>187</v>
      </c>
      <c r="E5350" s="13"/>
      <c r="G5350" s="13"/>
    </row>
    <row r="5351" spans="2:8" hidden="1" outlineLevel="1">
      <c r="B5351" s="12" t="s">
        <v>2697</v>
      </c>
      <c r="C5351" s="9" t="str">
        <f>C5331</f>
        <v>Show</v>
      </c>
      <c r="D5351" s="23"/>
      <c r="E5351" s="12" t="str">
        <f>IF(COUNTIF(C5352:C5357,"Show")&gt;0,"3.1 Execution Requirements","No EGC Requirements")</f>
        <v>3.1 Execution Requirements</v>
      </c>
      <c r="G5351" s="13"/>
    </row>
    <row r="5352" spans="2:8" hidden="1" outlineLevel="1">
      <c r="B5352" s="12" t="s">
        <v>2697</v>
      </c>
      <c r="C5352" t="str">
        <f>$F$5952</f>
        <v>Show</v>
      </c>
      <c r="D5352" s="23"/>
      <c r="E5352" s="12"/>
      <c r="F5352" s="70" t="s">
        <v>119</v>
      </c>
      <c r="G5352" s="12" t="s">
        <v>3452</v>
      </c>
    </row>
    <row r="5353" spans="2:8" hidden="1" outlineLevel="1">
      <c r="B5353" s="12" t="s">
        <v>2697</v>
      </c>
      <c r="C5353" t="str">
        <f>C5352</f>
        <v>Show</v>
      </c>
      <c r="D5353" s="23"/>
      <c r="E5353" s="12"/>
      <c r="G5353" s="78" t="s">
        <v>121</v>
      </c>
      <c r="H5353" s="75" t="s">
        <v>2773</v>
      </c>
    </row>
    <row r="5354" spans="2:8" hidden="1" outlineLevel="1">
      <c r="B5354" s="12" t="s">
        <v>2697</v>
      </c>
      <c r="C5354" t="str">
        <f>$F$5955</f>
        <v>Show</v>
      </c>
      <c r="D5354" s="23"/>
      <c r="E5354" s="12"/>
      <c r="F5354" s="70" t="str">
        <f>CHAR(65+(COUNTIF(C$5352:C5353,"Show")/2))&amp;"."</f>
        <v>B.</v>
      </c>
      <c r="G5354" s="12" t="s">
        <v>3435</v>
      </c>
    </row>
    <row r="5355" spans="2:8" ht="30" hidden="1" outlineLevel="1">
      <c r="B5355" s="12" t="s">
        <v>2697</v>
      </c>
      <c r="C5355" s="9" t="str">
        <f>C5354</f>
        <v>Show</v>
      </c>
      <c r="D5355" s="23"/>
      <c r="E5355" s="12"/>
      <c r="F5355" s="70"/>
      <c r="G5355" s="78" t="s">
        <v>121</v>
      </c>
      <c r="H5355" s="75" t="s">
        <v>2540</v>
      </c>
    </row>
    <row r="5356" spans="2:8" hidden="1" outlineLevel="1">
      <c r="B5356" s="12" t="s">
        <v>2697</v>
      </c>
      <c r="C5356" t="str">
        <f>$F$5974</f>
        <v>Show</v>
      </c>
      <c r="D5356" s="23"/>
      <c r="E5356" s="13"/>
      <c r="F5356" s="70" t="str">
        <f>CHAR(65+(COUNTIF(C$5352:C5355,"Show")/2))&amp;"."</f>
        <v>C.</v>
      </c>
      <c r="G5356" s="12" t="s">
        <v>3407</v>
      </c>
    </row>
    <row r="5357" spans="2:8" ht="30" hidden="1" outlineLevel="1">
      <c r="B5357" s="12" t="s">
        <v>2697</v>
      </c>
      <c r="C5357" s="9" t="str">
        <f>C5356</f>
        <v>Show</v>
      </c>
      <c r="D5357" s="23"/>
      <c r="E5357" s="13"/>
      <c r="F5357" s="70"/>
      <c r="G5357" s="78" t="s">
        <v>121</v>
      </c>
      <c r="H5357" s="75" t="s">
        <v>2846</v>
      </c>
    </row>
    <row r="5358" spans="2:8" hidden="1" outlineLevel="1">
      <c r="B5358" s="12" t="s">
        <v>2697</v>
      </c>
      <c r="C5358" s="9" t="str">
        <f>C5331</f>
        <v>Show</v>
      </c>
    </row>
    <row r="5359" spans="2:8" collapsed="1">
      <c r="B5359" s="23"/>
      <c r="C5359" s="2" t="str">
        <f>C5360</f>
        <v>Show</v>
      </c>
      <c r="D5359" s="60" t="s">
        <v>339</v>
      </c>
      <c r="E5359" s="60"/>
      <c r="F5359" s="56" t="s">
        <v>340</v>
      </c>
      <c r="G5359" s="59"/>
      <c r="H5359" s="54"/>
    </row>
    <row r="5360" spans="2:8" hidden="1" outlineLevel="1">
      <c r="B5360" s="12" t="s">
        <v>2697</v>
      </c>
      <c r="C5360" s="2" t="str">
        <f>IF((COUNTIF(C5364:C5370,"Show")+COUNTIF(C5373:C5378,"Show")+COUNTIF(C5381:C5386,"Show"))&gt;0,"Show","Hide")</f>
        <v>Show</v>
      </c>
      <c r="D5360" s="23" t="s">
        <v>117</v>
      </c>
      <c r="E5360" s="13"/>
      <c r="G5360" s="13"/>
    </row>
    <row r="5361" spans="2:8" hidden="1" outlineLevel="1">
      <c r="B5361" s="12" t="s">
        <v>2697</v>
      </c>
      <c r="C5361" s="9" t="str">
        <f>C5360</f>
        <v>Show</v>
      </c>
      <c r="D5361" s="23"/>
      <c r="E5361" s="13">
        <v>1.1000000000000001</v>
      </c>
      <c r="F5361" s="11" t="s">
        <v>118</v>
      </c>
      <c r="G5361" s="13"/>
    </row>
    <row r="5362" spans="2:8" hidden="1" outlineLevel="1">
      <c r="B5362" s="12" t="s">
        <v>2697</v>
      </c>
      <c r="C5362" s="9" t="str">
        <f>C5361</f>
        <v>Show</v>
      </c>
      <c r="D5362" s="23"/>
      <c r="E5362" s="13"/>
      <c r="F5362" s="70" t="s">
        <v>119</v>
      </c>
      <c r="G5362" s="18" t="s">
        <v>677</v>
      </c>
    </row>
    <row r="5363" spans="2:8" hidden="1" outlineLevel="1">
      <c r="B5363" s="12" t="s">
        <v>2697</v>
      </c>
      <c r="C5363" s="9" t="str">
        <f>C5362</f>
        <v>Show</v>
      </c>
      <c r="D5363" s="23"/>
      <c r="E5363" s="13"/>
      <c r="F5363" s="70"/>
      <c r="G5363" s="78" t="s">
        <v>121</v>
      </c>
      <c r="H5363" s="79" t="s">
        <v>2301</v>
      </c>
    </row>
    <row r="5364" spans="2:8" hidden="1" outlineLevel="1">
      <c r="B5364" s="12" t="s">
        <v>2697</v>
      </c>
      <c r="C5364" s="9" t="str">
        <f>IF(COUNTIF(C5365:C5370,"Show")&gt;0,"Show","Hide")</f>
        <v>Show</v>
      </c>
      <c r="D5364" s="23"/>
      <c r="E5364" s="13">
        <v>1.2</v>
      </c>
      <c r="F5364" s="71" t="s">
        <v>131</v>
      </c>
      <c r="G5364" s="78"/>
    </row>
    <row r="5365" spans="2:8" hidden="1" outlineLevel="1">
      <c r="B5365" s="12" t="s">
        <v>2697</v>
      </c>
      <c r="C5365" t="str">
        <f>$D$5952</f>
        <v>Show</v>
      </c>
      <c r="D5365" s="23"/>
      <c r="E5365" s="13"/>
      <c r="F5365" s="70" t="s">
        <v>119</v>
      </c>
      <c r="G5365" s="12" t="s">
        <v>3452</v>
      </c>
    </row>
    <row r="5366" spans="2:8" hidden="1" outlineLevel="1">
      <c r="B5366" s="12" t="s">
        <v>2697</v>
      </c>
      <c r="C5366" s="9" t="str">
        <f>C5365</f>
        <v>Show</v>
      </c>
      <c r="D5366" s="23"/>
      <c r="E5366" s="13"/>
      <c r="G5366" s="78" t="s">
        <v>121</v>
      </c>
      <c r="H5366" s="75" t="s">
        <v>2771</v>
      </c>
    </row>
    <row r="5367" spans="2:8" hidden="1" outlineLevel="1">
      <c r="B5367" s="12" t="s">
        <v>2697</v>
      </c>
      <c r="C5367" t="str">
        <f>$D$5955</f>
        <v>Show</v>
      </c>
      <c r="D5367" s="23"/>
      <c r="E5367" s="13"/>
      <c r="F5367" s="70" t="str">
        <f>CHAR(65+(COUNTIF(C$5365:C5366,"Show")/2))&amp;"."</f>
        <v>B.</v>
      </c>
      <c r="G5367" s="12" t="s">
        <v>3435</v>
      </c>
    </row>
    <row r="5368" spans="2:8" hidden="1" outlineLevel="1">
      <c r="B5368" s="12" t="s">
        <v>2697</v>
      </c>
      <c r="C5368" s="9" t="str">
        <f>C5367</f>
        <v>Show</v>
      </c>
      <c r="D5368" s="23"/>
      <c r="E5368" s="13"/>
      <c r="F5368" s="70"/>
      <c r="G5368" s="78" t="s">
        <v>121</v>
      </c>
      <c r="H5368" s="75" t="s">
        <v>2538</v>
      </c>
    </row>
    <row r="5369" spans="2:8" hidden="1" outlineLevel="1">
      <c r="B5369" s="12" t="s">
        <v>2697</v>
      </c>
      <c r="C5369" t="str">
        <f>$D$5974</f>
        <v>Show</v>
      </c>
      <c r="D5369" s="23"/>
      <c r="E5369" s="13"/>
      <c r="F5369" s="70" t="str">
        <f>CHAR(65+(COUNTIF(C$5365:C5368,"Show")/2))&amp;"."</f>
        <v>C.</v>
      </c>
      <c r="G5369" s="12" t="s">
        <v>3407</v>
      </c>
    </row>
    <row r="5370" spans="2:8" ht="30" hidden="1" outlineLevel="1">
      <c r="B5370" s="12" t="s">
        <v>2697</v>
      </c>
      <c r="C5370" s="9" t="str">
        <f>C5369</f>
        <v>Show</v>
      </c>
      <c r="D5370" s="23"/>
      <c r="E5370" s="13"/>
      <c r="F5370" s="70"/>
      <c r="G5370" s="78" t="s">
        <v>121</v>
      </c>
      <c r="H5370" s="75" t="s">
        <v>2844</v>
      </c>
    </row>
    <row r="5371" spans="2:8" hidden="1" outlineLevel="1">
      <c r="B5371" s="12" t="s">
        <v>2697</v>
      </c>
      <c r="C5371" s="9" t="str">
        <f>C5360</f>
        <v>Show</v>
      </c>
      <c r="D5371" s="23" t="s">
        <v>613</v>
      </c>
      <c r="E5371" s="13"/>
      <c r="G5371" s="13"/>
    </row>
    <row r="5372" spans="2:8" hidden="1" outlineLevel="1">
      <c r="B5372" s="12" t="s">
        <v>2697</v>
      </c>
      <c r="C5372" s="9" t="str">
        <f>C5360</f>
        <v>Show</v>
      </c>
      <c r="D5372" s="23"/>
      <c r="E5372" s="12" t="str">
        <f>IF(COUNTIF(C5373:C5378,"Show")&gt;0,"2.1 Product Requirements","No EGC Requirements")</f>
        <v>2.1 Product Requirements</v>
      </c>
      <c r="G5372" s="13"/>
    </row>
    <row r="5373" spans="2:8" hidden="1" outlineLevel="1">
      <c r="B5373" s="12" t="s">
        <v>2697</v>
      </c>
      <c r="C5373" t="str">
        <f>$E$5952</f>
        <v>Show</v>
      </c>
      <c r="D5373" s="23"/>
      <c r="E5373" s="12"/>
      <c r="F5373" s="70" t="s">
        <v>119</v>
      </c>
      <c r="G5373" s="12" t="s">
        <v>3452</v>
      </c>
    </row>
    <row r="5374" spans="2:8" hidden="1" outlineLevel="1">
      <c r="B5374" s="12" t="s">
        <v>2697</v>
      </c>
      <c r="C5374" s="9" t="str">
        <f>C5373</f>
        <v>Show</v>
      </c>
      <c r="D5374" s="23"/>
      <c r="E5374" s="12"/>
      <c r="G5374" s="30" t="s">
        <v>121</v>
      </c>
      <c r="H5374" s="75" t="s">
        <v>2772</v>
      </c>
    </row>
    <row r="5375" spans="2:8" hidden="1" outlineLevel="1">
      <c r="B5375" s="12" t="s">
        <v>2697</v>
      </c>
      <c r="C5375" t="str">
        <f>$E$5955</f>
        <v>Show</v>
      </c>
      <c r="D5375" s="23"/>
      <c r="E5375" s="12"/>
      <c r="F5375" s="70" t="str">
        <f>CHAR(65+(COUNTIF(C$5373:C5374,"Show")/2))&amp;"."</f>
        <v>B.</v>
      </c>
      <c r="G5375" s="12" t="s">
        <v>3435</v>
      </c>
    </row>
    <row r="5376" spans="2:8" hidden="1" outlineLevel="1">
      <c r="B5376" s="12" t="s">
        <v>2697</v>
      </c>
      <c r="C5376" s="9" t="str">
        <f>C5375</f>
        <v>Show</v>
      </c>
      <c r="D5376" s="23"/>
      <c r="E5376" s="12"/>
      <c r="F5376" s="70"/>
      <c r="G5376" s="30" t="s">
        <v>121</v>
      </c>
      <c r="H5376" s="75" t="s">
        <v>2539</v>
      </c>
    </row>
    <row r="5377" spans="2:8" hidden="1" outlineLevel="1">
      <c r="B5377" s="12" t="s">
        <v>2697</v>
      </c>
      <c r="C5377" t="str">
        <f>$E$5974</f>
        <v>Show</v>
      </c>
      <c r="D5377" s="23"/>
      <c r="E5377" s="12"/>
      <c r="F5377" s="70" t="str">
        <f>CHAR(65+(COUNTIF(C$5373:C5376,"Show")/2))&amp;"."</f>
        <v>C.</v>
      </c>
      <c r="G5377" s="12" t="s">
        <v>3407</v>
      </c>
    </row>
    <row r="5378" spans="2:8" ht="30" hidden="1" outlineLevel="1">
      <c r="B5378" s="12" t="s">
        <v>2697</v>
      </c>
      <c r="C5378" s="9" t="str">
        <f>C5377</f>
        <v>Show</v>
      </c>
      <c r="D5378" s="23"/>
      <c r="E5378" s="12"/>
      <c r="G5378" s="30" t="s">
        <v>121</v>
      </c>
      <c r="H5378" s="75" t="s">
        <v>2845</v>
      </c>
    </row>
    <row r="5379" spans="2:8" hidden="1" outlineLevel="1">
      <c r="B5379" s="12" t="s">
        <v>2697</v>
      </c>
      <c r="C5379" s="9" t="str">
        <f>C5360</f>
        <v>Show</v>
      </c>
      <c r="D5379" s="23" t="s">
        <v>187</v>
      </c>
      <c r="E5379" s="13"/>
      <c r="G5379" s="13"/>
    </row>
    <row r="5380" spans="2:8" hidden="1" outlineLevel="1">
      <c r="B5380" s="12" t="s">
        <v>2697</v>
      </c>
      <c r="C5380" s="9" t="str">
        <f>C5360</f>
        <v>Show</v>
      </c>
      <c r="D5380" s="23"/>
      <c r="E5380" s="12" t="str">
        <f>IF(COUNTIF(C5381:C5386,"Show")&gt;0,"3.1 Execution Requirements","No EGC Requirements")</f>
        <v>3.1 Execution Requirements</v>
      </c>
      <c r="G5380" s="13"/>
    </row>
    <row r="5381" spans="2:8" hidden="1" outlineLevel="1">
      <c r="B5381" s="12" t="s">
        <v>2697</v>
      </c>
      <c r="C5381" t="str">
        <f>$F$5952</f>
        <v>Show</v>
      </c>
      <c r="D5381" s="23"/>
      <c r="E5381" s="12"/>
      <c r="F5381" s="70" t="s">
        <v>119</v>
      </c>
      <c r="G5381" s="12" t="s">
        <v>3452</v>
      </c>
    </row>
    <row r="5382" spans="2:8" hidden="1" outlineLevel="1">
      <c r="B5382" s="12" t="s">
        <v>2697</v>
      </c>
      <c r="C5382" t="str">
        <f>C5381</f>
        <v>Show</v>
      </c>
      <c r="D5382" s="23"/>
      <c r="E5382" s="12"/>
      <c r="G5382" s="78" t="s">
        <v>121</v>
      </c>
      <c r="H5382" s="75" t="s">
        <v>2773</v>
      </c>
    </row>
    <row r="5383" spans="2:8" hidden="1" outlineLevel="1">
      <c r="B5383" s="12" t="s">
        <v>2697</v>
      </c>
      <c r="C5383" t="str">
        <f>$F$5955</f>
        <v>Show</v>
      </c>
      <c r="D5383" s="23"/>
      <c r="E5383" s="12"/>
      <c r="F5383" s="70" t="str">
        <f>CHAR(65+(COUNTIF(C$5381:C5382,"Show")/2))&amp;"."</f>
        <v>B.</v>
      </c>
      <c r="G5383" s="12" t="s">
        <v>3435</v>
      </c>
    </row>
    <row r="5384" spans="2:8" ht="30" hidden="1" outlineLevel="1">
      <c r="B5384" s="12" t="s">
        <v>2697</v>
      </c>
      <c r="C5384" s="9" t="str">
        <f>C5383</f>
        <v>Show</v>
      </c>
      <c r="D5384" s="23"/>
      <c r="E5384" s="12"/>
      <c r="F5384" s="70"/>
      <c r="G5384" s="78" t="s">
        <v>121</v>
      </c>
      <c r="H5384" s="75" t="s">
        <v>2540</v>
      </c>
    </row>
    <row r="5385" spans="2:8" hidden="1" outlineLevel="1">
      <c r="B5385" s="12" t="s">
        <v>2697</v>
      </c>
      <c r="C5385" t="str">
        <f>$F$5974</f>
        <v>Show</v>
      </c>
      <c r="D5385" s="23"/>
      <c r="E5385" s="13"/>
      <c r="F5385" s="70" t="str">
        <f>CHAR(65+(COUNTIF(C$5381:C5384,"Show")/2))&amp;"."</f>
        <v>C.</v>
      </c>
      <c r="G5385" s="12" t="s">
        <v>3407</v>
      </c>
    </row>
    <row r="5386" spans="2:8" ht="30" hidden="1" outlineLevel="1">
      <c r="B5386" s="12" t="s">
        <v>2697</v>
      </c>
      <c r="C5386" s="9" t="str">
        <f>C5385</f>
        <v>Show</v>
      </c>
      <c r="D5386" s="23"/>
      <c r="E5386" s="13"/>
      <c r="F5386" s="70"/>
      <c r="G5386" s="78" t="s">
        <v>121</v>
      </c>
      <c r="H5386" s="75" t="s">
        <v>2846</v>
      </c>
    </row>
    <row r="5387" spans="2:8" hidden="1" outlineLevel="1">
      <c r="B5387" s="12" t="s">
        <v>2697</v>
      </c>
      <c r="C5387" s="9" t="str">
        <f>C5360</f>
        <v>Show</v>
      </c>
    </row>
    <row r="5388" spans="2:8" collapsed="1">
      <c r="B5388" s="23"/>
      <c r="C5388" s="2" t="str">
        <f>C5389</f>
        <v>Show</v>
      </c>
      <c r="D5388" s="60" t="s">
        <v>1233</v>
      </c>
      <c r="E5388" s="60"/>
      <c r="F5388" s="56" t="s">
        <v>2764</v>
      </c>
      <c r="G5388" s="59"/>
      <c r="H5388" s="54"/>
    </row>
    <row r="5389" spans="2:8" hidden="1" outlineLevel="1">
      <c r="B5389" s="12" t="s">
        <v>2697</v>
      </c>
      <c r="C5389" s="2" t="str">
        <f>IF((COUNTIF(C5393:C5399,"Show")+COUNTIF(C5402:C5407,"Show")+COUNTIF(C5410:C5415,"Show"))&gt;0,"Show","Hide")</f>
        <v>Show</v>
      </c>
      <c r="D5389" s="23" t="s">
        <v>117</v>
      </c>
      <c r="E5389" s="13"/>
      <c r="G5389" s="13"/>
    </row>
    <row r="5390" spans="2:8" hidden="1" outlineLevel="1">
      <c r="B5390" s="12" t="s">
        <v>2697</v>
      </c>
      <c r="C5390" s="9" t="str">
        <f>C5389</f>
        <v>Show</v>
      </c>
      <c r="D5390" s="23"/>
      <c r="E5390" s="13">
        <v>1.1000000000000001</v>
      </c>
      <c r="F5390" s="11" t="s">
        <v>118</v>
      </c>
      <c r="G5390" s="13"/>
    </row>
    <row r="5391" spans="2:8" hidden="1" outlineLevel="1">
      <c r="B5391" s="12" t="s">
        <v>2697</v>
      </c>
      <c r="C5391" s="9" t="str">
        <f>C5390</f>
        <v>Show</v>
      </c>
      <c r="D5391" s="23"/>
      <c r="E5391" s="13"/>
      <c r="F5391" s="70" t="s">
        <v>119</v>
      </c>
      <c r="G5391" s="18" t="s">
        <v>677</v>
      </c>
    </row>
    <row r="5392" spans="2:8" hidden="1" outlineLevel="1">
      <c r="B5392" s="12" t="s">
        <v>2697</v>
      </c>
      <c r="C5392" s="9" t="str">
        <f>C5391</f>
        <v>Show</v>
      </c>
      <c r="D5392" s="23"/>
      <c r="E5392" s="13"/>
      <c r="F5392" s="70"/>
      <c r="G5392" s="78" t="s">
        <v>121</v>
      </c>
      <c r="H5392" s="79" t="s">
        <v>2301</v>
      </c>
    </row>
    <row r="5393" spans="2:8" hidden="1" outlineLevel="1">
      <c r="B5393" s="12" t="s">
        <v>2697</v>
      </c>
      <c r="C5393" s="9" t="str">
        <f>IF(COUNTIF(C5394:C5399,"Show")&gt;0,"Show","Hide")</f>
        <v>Show</v>
      </c>
      <c r="D5393" s="23"/>
      <c r="E5393" s="13">
        <v>1.2</v>
      </c>
      <c r="F5393" s="71" t="s">
        <v>131</v>
      </c>
      <c r="G5393" s="78"/>
    </row>
    <row r="5394" spans="2:8" hidden="1" outlineLevel="1">
      <c r="B5394" s="12" t="s">
        <v>2697</v>
      </c>
      <c r="C5394" t="str">
        <f>$D$5952</f>
        <v>Show</v>
      </c>
      <c r="D5394" s="23"/>
      <c r="E5394" s="13"/>
      <c r="F5394" s="70" t="s">
        <v>119</v>
      </c>
      <c r="G5394" s="12" t="s">
        <v>3452</v>
      </c>
    </row>
    <row r="5395" spans="2:8" hidden="1" outlineLevel="1">
      <c r="B5395" s="12" t="s">
        <v>2697</v>
      </c>
      <c r="C5395" s="9" t="str">
        <f>C5394</f>
        <v>Show</v>
      </c>
      <c r="D5395" s="23"/>
      <c r="E5395" s="13"/>
      <c r="G5395" s="78" t="s">
        <v>121</v>
      </c>
      <c r="H5395" s="75" t="s">
        <v>2771</v>
      </c>
    </row>
    <row r="5396" spans="2:8" hidden="1" outlineLevel="1">
      <c r="B5396" s="12" t="s">
        <v>2697</v>
      </c>
      <c r="C5396" t="str">
        <f>$D$5955</f>
        <v>Show</v>
      </c>
      <c r="D5396" s="23"/>
      <c r="E5396" s="13"/>
      <c r="F5396" s="70" t="str">
        <f>CHAR(65+(COUNTIF(C$5394:C5395,"Show")/2))&amp;"."</f>
        <v>B.</v>
      </c>
      <c r="G5396" s="12" t="s">
        <v>3435</v>
      </c>
    </row>
    <row r="5397" spans="2:8" hidden="1" outlineLevel="1">
      <c r="B5397" s="12" t="s">
        <v>2697</v>
      </c>
      <c r="C5397" s="9" t="str">
        <f>C5396</f>
        <v>Show</v>
      </c>
      <c r="D5397" s="23"/>
      <c r="E5397" s="13"/>
      <c r="F5397" s="70"/>
      <c r="G5397" s="78" t="s">
        <v>121</v>
      </c>
      <c r="H5397" s="75" t="s">
        <v>2538</v>
      </c>
    </row>
    <row r="5398" spans="2:8" hidden="1" outlineLevel="1">
      <c r="B5398" s="12" t="s">
        <v>2697</v>
      </c>
      <c r="C5398" t="str">
        <f>$D$5974</f>
        <v>Show</v>
      </c>
      <c r="D5398" s="23"/>
      <c r="E5398" s="13"/>
      <c r="F5398" s="70" t="str">
        <f>CHAR(65+(COUNTIF(C$5394:C5397,"Show")/2))&amp;"."</f>
        <v>C.</v>
      </c>
      <c r="G5398" s="12" t="s">
        <v>3407</v>
      </c>
    </row>
    <row r="5399" spans="2:8" ht="30" hidden="1" outlineLevel="1">
      <c r="B5399" s="12" t="s">
        <v>2697</v>
      </c>
      <c r="C5399" s="9" t="str">
        <f>C5398</f>
        <v>Show</v>
      </c>
      <c r="D5399" s="23"/>
      <c r="E5399" s="13"/>
      <c r="F5399" s="70"/>
      <c r="G5399" s="78" t="s">
        <v>121</v>
      </c>
      <c r="H5399" s="75" t="s">
        <v>2844</v>
      </c>
    </row>
    <row r="5400" spans="2:8" hidden="1" outlineLevel="1">
      <c r="B5400" s="12" t="s">
        <v>2697</v>
      </c>
      <c r="C5400" s="9" t="str">
        <f>C5389</f>
        <v>Show</v>
      </c>
      <c r="D5400" s="23" t="s">
        <v>613</v>
      </c>
      <c r="E5400" s="13"/>
      <c r="G5400" s="13"/>
    </row>
    <row r="5401" spans="2:8" hidden="1" outlineLevel="1">
      <c r="B5401" s="12" t="s">
        <v>2697</v>
      </c>
      <c r="C5401" s="9" t="str">
        <f>C5389</f>
        <v>Show</v>
      </c>
      <c r="D5401" s="23"/>
      <c r="E5401" s="12" t="str">
        <f>IF(COUNTIF(C5402:C5407,"Show")&gt;0,"2.1 Product Requirements","No EGC Requirements")</f>
        <v>2.1 Product Requirements</v>
      </c>
      <c r="G5401" s="13"/>
    </row>
    <row r="5402" spans="2:8" hidden="1" outlineLevel="1">
      <c r="B5402" s="12" t="s">
        <v>2697</v>
      </c>
      <c r="C5402" t="str">
        <f>$E$5952</f>
        <v>Show</v>
      </c>
      <c r="D5402" s="23"/>
      <c r="E5402" s="12"/>
      <c r="F5402" s="70" t="s">
        <v>119</v>
      </c>
      <c r="G5402" s="12" t="s">
        <v>3452</v>
      </c>
    </row>
    <row r="5403" spans="2:8" hidden="1" outlineLevel="1">
      <c r="B5403" s="12" t="s">
        <v>2697</v>
      </c>
      <c r="C5403" s="9" t="str">
        <f>C5402</f>
        <v>Show</v>
      </c>
      <c r="D5403" s="23"/>
      <c r="E5403" s="12"/>
      <c r="G5403" s="30" t="s">
        <v>121</v>
      </c>
      <c r="H5403" s="75" t="s">
        <v>2772</v>
      </c>
    </row>
    <row r="5404" spans="2:8" hidden="1" outlineLevel="1">
      <c r="B5404" s="12" t="s">
        <v>2697</v>
      </c>
      <c r="C5404" t="str">
        <f>$E$5955</f>
        <v>Show</v>
      </c>
      <c r="D5404" s="23"/>
      <c r="E5404" s="12"/>
      <c r="F5404" s="70" t="str">
        <f>CHAR(65+(COUNTIF(C$5402:C5403,"Show")/2))&amp;"."</f>
        <v>B.</v>
      </c>
      <c r="G5404" s="12" t="s">
        <v>3435</v>
      </c>
    </row>
    <row r="5405" spans="2:8" hidden="1" outlineLevel="1">
      <c r="B5405" s="12" t="s">
        <v>2697</v>
      </c>
      <c r="C5405" s="9" t="str">
        <f>C5404</f>
        <v>Show</v>
      </c>
      <c r="D5405" s="23"/>
      <c r="E5405" s="12"/>
      <c r="F5405" s="70"/>
      <c r="G5405" s="30" t="s">
        <v>121</v>
      </c>
      <c r="H5405" s="75" t="s">
        <v>2539</v>
      </c>
    </row>
    <row r="5406" spans="2:8" hidden="1" outlineLevel="1">
      <c r="B5406" s="12" t="s">
        <v>2697</v>
      </c>
      <c r="C5406" t="str">
        <f>$E$5974</f>
        <v>Show</v>
      </c>
      <c r="D5406" s="23"/>
      <c r="E5406" s="12"/>
      <c r="F5406" s="70" t="str">
        <f>CHAR(65+(COUNTIF(C$5402:C5405,"Show")/2))&amp;"."</f>
        <v>C.</v>
      </c>
      <c r="G5406" s="12" t="s">
        <v>3407</v>
      </c>
    </row>
    <row r="5407" spans="2:8" ht="30" hidden="1" outlineLevel="1">
      <c r="B5407" s="12" t="s">
        <v>2697</v>
      </c>
      <c r="C5407" s="9" t="str">
        <f>C5406</f>
        <v>Show</v>
      </c>
      <c r="D5407" s="23"/>
      <c r="E5407" s="12"/>
      <c r="G5407" s="30" t="s">
        <v>121</v>
      </c>
      <c r="H5407" s="75" t="s">
        <v>2845</v>
      </c>
    </row>
    <row r="5408" spans="2:8" hidden="1" outlineLevel="1">
      <c r="B5408" s="12" t="s">
        <v>2697</v>
      </c>
      <c r="C5408" s="9" t="str">
        <f>C5389</f>
        <v>Show</v>
      </c>
      <c r="D5408" s="23" t="s">
        <v>187</v>
      </c>
      <c r="E5408" s="13"/>
      <c r="G5408" s="13"/>
    </row>
    <row r="5409" spans="2:8" hidden="1" outlineLevel="1">
      <c r="B5409" s="12" t="s">
        <v>2697</v>
      </c>
      <c r="C5409" s="9" t="str">
        <f>C5389</f>
        <v>Show</v>
      </c>
      <c r="D5409" s="23"/>
      <c r="E5409" s="12" t="str">
        <f>IF(COUNTIF(C5410:C5415,"Show")&gt;0,"3.1 Execution Requirements","No EGC Requirements")</f>
        <v>3.1 Execution Requirements</v>
      </c>
      <c r="G5409" s="13"/>
    </row>
    <row r="5410" spans="2:8" hidden="1" outlineLevel="1">
      <c r="B5410" s="12" t="s">
        <v>2697</v>
      </c>
      <c r="C5410" t="str">
        <f>$F$5952</f>
        <v>Show</v>
      </c>
      <c r="D5410" s="23"/>
      <c r="E5410" s="12"/>
      <c r="F5410" s="70" t="s">
        <v>119</v>
      </c>
      <c r="G5410" s="12" t="s">
        <v>3452</v>
      </c>
    </row>
    <row r="5411" spans="2:8" hidden="1" outlineLevel="1">
      <c r="B5411" s="12" t="s">
        <v>2697</v>
      </c>
      <c r="C5411" t="str">
        <f>C5410</f>
        <v>Show</v>
      </c>
      <c r="D5411" s="23"/>
      <c r="E5411" s="12"/>
      <c r="G5411" s="78" t="s">
        <v>121</v>
      </c>
      <c r="H5411" s="75" t="s">
        <v>2773</v>
      </c>
    </row>
    <row r="5412" spans="2:8" hidden="1" outlineLevel="1">
      <c r="B5412" s="12" t="s">
        <v>2697</v>
      </c>
      <c r="C5412" t="str">
        <f>$F$5955</f>
        <v>Show</v>
      </c>
      <c r="D5412" s="23"/>
      <c r="E5412" s="12"/>
      <c r="F5412" s="70" t="str">
        <f>CHAR(65+(COUNTIF(C$5410:C5411,"Show")/2))&amp;"."</f>
        <v>B.</v>
      </c>
      <c r="G5412" s="12" t="s">
        <v>3435</v>
      </c>
    </row>
    <row r="5413" spans="2:8" ht="30" hidden="1" outlineLevel="1">
      <c r="B5413" s="12" t="s">
        <v>2697</v>
      </c>
      <c r="C5413" s="9" t="str">
        <f>C5412</f>
        <v>Show</v>
      </c>
      <c r="D5413" s="23"/>
      <c r="E5413" s="12"/>
      <c r="F5413" s="70"/>
      <c r="G5413" s="78" t="s">
        <v>121</v>
      </c>
      <c r="H5413" s="75" t="s">
        <v>2540</v>
      </c>
    </row>
    <row r="5414" spans="2:8" hidden="1" outlineLevel="1">
      <c r="B5414" s="12" t="s">
        <v>2697</v>
      </c>
      <c r="C5414" t="str">
        <f>$F$5974</f>
        <v>Show</v>
      </c>
      <c r="D5414" s="23"/>
      <c r="E5414" s="13"/>
      <c r="F5414" s="70" t="str">
        <f>CHAR(65+(COUNTIF(C$5410:C5413,"Show")/2))&amp;"."</f>
        <v>C.</v>
      </c>
      <c r="G5414" s="12" t="s">
        <v>3407</v>
      </c>
    </row>
    <row r="5415" spans="2:8" ht="30" hidden="1" outlineLevel="1">
      <c r="B5415" s="12" t="s">
        <v>2697</v>
      </c>
      <c r="C5415" s="9" t="str">
        <f>C5414</f>
        <v>Show</v>
      </c>
      <c r="D5415" s="23"/>
      <c r="E5415" s="13"/>
      <c r="F5415" s="70"/>
      <c r="G5415" s="78" t="s">
        <v>121</v>
      </c>
      <c r="H5415" s="75" t="s">
        <v>2846</v>
      </c>
    </row>
    <row r="5416" spans="2:8" hidden="1" outlineLevel="1">
      <c r="B5416" s="12" t="s">
        <v>2697</v>
      </c>
      <c r="C5416" s="9" t="str">
        <f>C5389</f>
        <v>Show</v>
      </c>
    </row>
    <row r="5417" spans="2:8" collapsed="1">
      <c r="B5417" s="23"/>
      <c r="C5417" s="2" t="str">
        <f>C5418</f>
        <v>Show</v>
      </c>
      <c r="D5417" s="55" t="s">
        <v>1740</v>
      </c>
      <c r="E5417" s="60"/>
      <c r="F5417" s="57" t="s">
        <v>1739</v>
      </c>
      <c r="G5417" s="59"/>
      <c r="H5417" s="54"/>
    </row>
    <row r="5418" spans="2:8" hidden="1" outlineLevel="1">
      <c r="B5418" s="12" t="s">
        <v>2697</v>
      </c>
      <c r="C5418" s="2" t="str">
        <f>IF((COUNTIF(C5422:C5424,"Show")+COUNTIF(C5427:C5428,"Show")+COUNTIF(C5431:C5432,"Show"))&gt;0,"Show","Hide")</f>
        <v>Show</v>
      </c>
      <c r="D5418" s="23" t="s">
        <v>117</v>
      </c>
      <c r="E5418" s="13"/>
      <c r="G5418" s="13"/>
    </row>
    <row r="5419" spans="2:8" hidden="1" outlineLevel="1">
      <c r="B5419" s="12" t="s">
        <v>2697</v>
      </c>
      <c r="C5419" s="9" t="str">
        <f>C5418</f>
        <v>Show</v>
      </c>
      <c r="D5419" s="23"/>
      <c r="E5419" s="13">
        <v>1.1000000000000001</v>
      </c>
      <c r="F5419" s="11" t="s">
        <v>118</v>
      </c>
      <c r="G5419" s="13"/>
    </row>
    <row r="5420" spans="2:8" hidden="1" outlineLevel="1">
      <c r="B5420" s="12" t="s">
        <v>2697</v>
      </c>
      <c r="C5420" s="9" t="str">
        <f>C5419</f>
        <v>Show</v>
      </c>
      <c r="D5420" s="23"/>
      <c r="E5420" s="13"/>
      <c r="F5420" s="70" t="s">
        <v>119</v>
      </c>
      <c r="G5420" s="18" t="s">
        <v>677</v>
      </c>
    </row>
    <row r="5421" spans="2:8" hidden="1" outlineLevel="1">
      <c r="B5421" s="12" t="s">
        <v>2697</v>
      </c>
      <c r="C5421" s="9" t="str">
        <f>C5420</f>
        <v>Show</v>
      </c>
      <c r="D5421" s="23"/>
      <c r="E5421" s="13"/>
      <c r="F5421" s="70"/>
      <c r="G5421" s="78" t="s">
        <v>121</v>
      </c>
      <c r="H5421" s="79" t="s">
        <v>2301</v>
      </c>
    </row>
    <row r="5422" spans="2:8" hidden="1" outlineLevel="1">
      <c r="B5422" s="12" t="s">
        <v>2697</v>
      </c>
      <c r="C5422" s="9" t="str">
        <f>IF(COUNTIF(C5423:C5424,"Show")&gt;0,"Show","Hide")</f>
        <v>Show</v>
      </c>
      <c r="D5422" s="23"/>
      <c r="E5422" s="13">
        <v>1.2</v>
      </c>
      <c r="F5422" s="71" t="s">
        <v>131</v>
      </c>
      <c r="G5422" s="78"/>
    </row>
    <row r="5423" spans="2:8" hidden="1" outlineLevel="1">
      <c r="B5423" s="12" t="s">
        <v>2697</v>
      </c>
      <c r="C5423" t="str">
        <f>$D$5955</f>
        <v>Show</v>
      </c>
      <c r="D5423" s="23"/>
      <c r="E5423" s="13"/>
      <c r="F5423" s="70" t="s">
        <v>119</v>
      </c>
      <c r="G5423" s="12" t="s">
        <v>3435</v>
      </c>
    </row>
    <row r="5424" spans="2:8" hidden="1" outlineLevel="1">
      <c r="B5424" s="12" t="s">
        <v>2697</v>
      </c>
      <c r="C5424" s="9" t="str">
        <f>C5423</f>
        <v>Show</v>
      </c>
      <c r="D5424" s="23"/>
      <c r="E5424" s="13"/>
      <c r="F5424" s="70"/>
      <c r="G5424" s="78" t="s">
        <v>121</v>
      </c>
      <c r="H5424" s="75" t="s">
        <v>2538</v>
      </c>
    </row>
    <row r="5425" spans="2:8" hidden="1" outlineLevel="1">
      <c r="B5425" s="12" t="s">
        <v>2697</v>
      </c>
      <c r="C5425" s="9" t="str">
        <f>C5418</f>
        <v>Show</v>
      </c>
      <c r="D5425" s="23" t="s">
        <v>613</v>
      </c>
      <c r="E5425" s="13"/>
      <c r="G5425" s="13"/>
    </row>
    <row r="5426" spans="2:8" hidden="1" outlineLevel="1">
      <c r="B5426" s="12" t="s">
        <v>2697</v>
      </c>
      <c r="C5426" s="9" t="str">
        <f>C5418</f>
        <v>Show</v>
      </c>
      <c r="D5426" s="23"/>
      <c r="E5426" s="12" t="str">
        <f>IF(COUNTIF(C5427:C5428,"Show")&gt;0,"2.1 Product Requirements","No EGC Requirements")</f>
        <v>2.1 Product Requirements</v>
      </c>
      <c r="G5426" s="13"/>
    </row>
    <row r="5427" spans="2:8" hidden="1" outlineLevel="1">
      <c r="B5427" s="12" t="s">
        <v>2697</v>
      </c>
      <c r="C5427" t="str">
        <f>$E$5955</f>
        <v>Show</v>
      </c>
      <c r="D5427" s="23"/>
      <c r="E5427" s="12"/>
      <c r="F5427" s="70" t="s">
        <v>119</v>
      </c>
      <c r="G5427" s="12" t="s">
        <v>3435</v>
      </c>
    </row>
    <row r="5428" spans="2:8" hidden="1" outlineLevel="1">
      <c r="B5428" s="12" t="s">
        <v>2697</v>
      </c>
      <c r="C5428" s="9" t="str">
        <f>C5427</f>
        <v>Show</v>
      </c>
      <c r="D5428" s="23"/>
      <c r="E5428" s="12"/>
      <c r="F5428" s="70"/>
      <c r="G5428" s="30" t="s">
        <v>121</v>
      </c>
      <c r="H5428" s="75" t="s">
        <v>2539</v>
      </c>
    </row>
    <row r="5429" spans="2:8" hidden="1" outlineLevel="1">
      <c r="B5429" s="12" t="s">
        <v>2697</v>
      </c>
      <c r="C5429" s="9" t="str">
        <f>C5418</f>
        <v>Show</v>
      </c>
      <c r="D5429" s="23" t="s">
        <v>187</v>
      </c>
      <c r="E5429" s="13"/>
      <c r="G5429" s="13"/>
    </row>
    <row r="5430" spans="2:8" hidden="1" outlineLevel="1">
      <c r="B5430" s="12" t="s">
        <v>2697</v>
      </c>
      <c r="C5430" s="9" t="str">
        <f>C5418</f>
        <v>Show</v>
      </c>
      <c r="D5430" s="23"/>
      <c r="E5430" s="12" t="str">
        <f>IF(COUNTIF(C5431:C5432,"Show")&gt;0,"3.1 Execution Requirements","No EGC Requirements")</f>
        <v>3.1 Execution Requirements</v>
      </c>
      <c r="G5430" s="13"/>
    </row>
    <row r="5431" spans="2:8" hidden="1" outlineLevel="1">
      <c r="B5431" s="12" t="s">
        <v>2697</v>
      </c>
      <c r="C5431" t="str">
        <f>$F$5955</f>
        <v>Show</v>
      </c>
      <c r="D5431" s="23"/>
      <c r="E5431" s="12"/>
      <c r="F5431" s="70" t="s">
        <v>119</v>
      </c>
      <c r="G5431" s="12" t="s">
        <v>3435</v>
      </c>
    </row>
    <row r="5432" spans="2:8" ht="30" hidden="1" outlineLevel="1">
      <c r="B5432" s="12" t="s">
        <v>2697</v>
      </c>
      <c r="C5432" s="9" t="str">
        <f>C5431</f>
        <v>Show</v>
      </c>
      <c r="D5432" s="23"/>
      <c r="E5432" s="12"/>
      <c r="F5432" s="70"/>
      <c r="G5432" s="78" t="s">
        <v>121</v>
      </c>
      <c r="H5432" s="75" t="s">
        <v>2540</v>
      </c>
    </row>
    <row r="5433" spans="2:8" hidden="1" outlineLevel="1">
      <c r="B5433" s="12" t="s">
        <v>2697</v>
      </c>
      <c r="C5433" s="9" t="str">
        <f>C5418</f>
        <v>Show</v>
      </c>
    </row>
    <row r="5434" spans="2:8" collapsed="1">
      <c r="B5434" s="23"/>
      <c r="C5434" s="2" t="str">
        <f>C5435</f>
        <v>Show</v>
      </c>
      <c r="D5434" s="60" t="s">
        <v>1226</v>
      </c>
      <c r="E5434" s="55"/>
      <c r="F5434" s="56" t="s">
        <v>1235</v>
      </c>
      <c r="G5434" s="59"/>
      <c r="H5434" s="54"/>
    </row>
    <row r="5435" spans="2:8" hidden="1" outlineLevel="1">
      <c r="B5435" s="12" t="s">
        <v>2697</v>
      </c>
      <c r="C5435" s="2" t="str">
        <f>IF((COUNTIF(C5439:C5443,"Show")+COUNTIF(C5446:C5447,"Show")+COUNTIF(C5450:C5453,"Show"))&gt;0,"Show","Hide")</f>
        <v>Show</v>
      </c>
      <c r="D5435" s="23" t="s">
        <v>117</v>
      </c>
      <c r="E5435" s="13"/>
      <c r="G5435" s="13"/>
    </row>
    <row r="5436" spans="2:8" hidden="1" outlineLevel="1">
      <c r="B5436" s="12" t="s">
        <v>2697</v>
      </c>
      <c r="C5436" s="9" t="str">
        <f>C5435</f>
        <v>Show</v>
      </c>
      <c r="D5436" s="23"/>
      <c r="E5436" s="13">
        <v>1.1000000000000001</v>
      </c>
      <c r="F5436" s="11" t="s">
        <v>118</v>
      </c>
      <c r="G5436" s="13"/>
    </row>
    <row r="5437" spans="2:8" hidden="1" outlineLevel="1">
      <c r="B5437" s="12" t="s">
        <v>2697</v>
      </c>
      <c r="C5437" s="9" t="str">
        <f>C5436</f>
        <v>Show</v>
      </c>
      <c r="D5437" s="23"/>
      <c r="E5437" s="13"/>
      <c r="F5437" s="70" t="s">
        <v>119</v>
      </c>
      <c r="G5437" s="18" t="s">
        <v>677</v>
      </c>
    </row>
    <row r="5438" spans="2:8" hidden="1" outlineLevel="1">
      <c r="B5438" s="12" t="s">
        <v>2697</v>
      </c>
      <c r="C5438" s="9" t="str">
        <f>C5437</f>
        <v>Show</v>
      </c>
      <c r="D5438" s="23"/>
      <c r="E5438" s="13"/>
      <c r="F5438" s="70"/>
      <c r="G5438" s="78" t="s">
        <v>121</v>
      </c>
      <c r="H5438" s="79" t="s">
        <v>2301</v>
      </c>
    </row>
    <row r="5439" spans="2:8" hidden="1" outlineLevel="1">
      <c r="B5439" s="12" t="s">
        <v>2697</v>
      </c>
      <c r="C5439" s="9" t="str">
        <f>IF(COUNTIF(C5442:C5443,"Show")&gt;0,"Show","Hide")</f>
        <v>Show</v>
      </c>
      <c r="D5439" s="23"/>
      <c r="E5439" s="13">
        <v>1.2</v>
      </c>
      <c r="F5439" s="71" t="s">
        <v>131</v>
      </c>
      <c r="G5439" s="78"/>
    </row>
    <row r="5440" spans="2:8" hidden="1" outlineLevel="1">
      <c r="B5440" s="12"/>
      <c r="C5440" t="str">
        <f>$D$5951</f>
        <v>Show</v>
      </c>
      <c r="D5440" s="23"/>
      <c r="E5440" s="13"/>
      <c r="F5440" s="70" t="s">
        <v>119</v>
      </c>
      <c r="G5440" s="12" t="s">
        <v>3488</v>
      </c>
    </row>
    <row r="5441" spans="2:8" hidden="1" outlineLevel="1">
      <c r="B5441" s="12"/>
      <c r="C5441" s="9" t="str">
        <f>C5440</f>
        <v>Show</v>
      </c>
      <c r="D5441" s="23"/>
      <c r="E5441" s="13"/>
      <c r="F5441" s="71"/>
      <c r="G5441" s="78" t="s">
        <v>121</v>
      </c>
      <c r="H5441" s="75" t="s">
        <v>2926</v>
      </c>
    </row>
    <row r="5442" spans="2:8" hidden="1" outlineLevel="1">
      <c r="B5442" s="12" t="s">
        <v>2697</v>
      </c>
      <c r="C5442" t="str">
        <f>$D$5952</f>
        <v>Show</v>
      </c>
      <c r="D5442" s="23"/>
      <c r="E5442" s="13"/>
      <c r="F5442" s="70" t="str">
        <f>CHAR(65+(COUNTIF(C$5440:C5441,"Show")/2))&amp;"."</f>
        <v>B.</v>
      </c>
      <c r="G5442" s="12" t="s">
        <v>3452</v>
      </c>
    </row>
    <row r="5443" spans="2:8" hidden="1" outlineLevel="1">
      <c r="B5443" s="12" t="s">
        <v>2697</v>
      </c>
      <c r="C5443" s="9" t="str">
        <f>C5442</f>
        <v>Show</v>
      </c>
      <c r="D5443" s="23"/>
      <c r="E5443" s="13"/>
      <c r="G5443" s="78" t="s">
        <v>121</v>
      </c>
      <c r="H5443" s="75" t="s">
        <v>2771</v>
      </c>
    </row>
    <row r="5444" spans="2:8" hidden="1" outlineLevel="1">
      <c r="B5444" s="12" t="s">
        <v>2697</v>
      </c>
      <c r="C5444" s="9" t="str">
        <f>C5435</f>
        <v>Show</v>
      </c>
      <c r="D5444" s="23" t="s">
        <v>613</v>
      </c>
      <c r="E5444" s="13"/>
      <c r="G5444" s="13"/>
    </row>
    <row r="5445" spans="2:8" hidden="1" outlineLevel="1">
      <c r="B5445" s="12" t="s">
        <v>2697</v>
      </c>
      <c r="C5445" s="9" t="str">
        <f>C5435</f>
        <v>Show</v>
      </c>
      <c r="D5445" s="23"/>
      <c r="E5445" s="12" t="str">
        <f>IF(COUNTIF(C5446:C5447,"Show")&gt;0,"2.1 Product Requirements","No EGC Requirements")</f>
        <v>2.1 Product Requirements</v>
      </c>
      <c r="G5445" s="13"/>
    </row>
    <row r="5446" spans="2:8" hidden="1" outlineLevel="1">
      <c r="B5446" s="12" t="s">
        <v>2697</v>
      </c>
      <c r="C5446" t="str">
        <f>$E$5952</f>
        <v>Show</v>
      </c>
      <c r="D5446" s="23"/>
      <c r="E5446" s="12"/>
      <c r="F5446" s="70" t="s">
        <v>119</v>
      </c>
      <c r="G5446" s="12" t="s">
        <v>3452</v>
      </c>
    </row>
    <row r="5447" spans="2:8" hidden="1" outlineLevel="1">
      <c r="B5447" s="12" t="s">
        <v>2697</v>
      </c>
      <c r="C5447" s="9" t="str">
        <f>C5446</f>
        <v>Show</v>
      </c>
      <c r="D5447" s="23"/>
      <c r="E5447" s="12"/>
      <c r="G5447" s="30" t="s">
        <v>121</v>
      </c>
      <c r="H5447" s="75" t="s">
        <v>2772</v>
      </c>
    </row>
    <row r="5448" spans="2:8" hidden="1" outlineLevel="1">
      <c r="B5448" s="12" t="s">
        <v>2697</v>
      </c>
      <c r="C5448" s="9" t="str">
        <f>C5435</f>
        <v>Show</v>
      </c>
      <c r="D5448" s="23" t="s">
        <v>187</v>
      </c>
      <c r="E5448" s="13"/>
      <c r="G5448" s="13"/>
    </row>
    <row r="5449" spans="2:8" hidden="1" outlineLevel="1">
      <c r="B5449" s="12" t="s">
        <v>2697</v>
      </c>
      <c r="C5449" s="9" t="str">
        <f>C5435</f>
        <v>Show</v>
      </c>
      <c r="D5449" s="23"/>
      <c r="E5449" s="12" t="str">
        <f>IF(COUNTIF(C5450:C5453,"Show")&gt;0,"3.1 Execution Requirements","No EGC Requirements")</f>
        <v>3.1 Execution Requirements</v>
      </c>
      <c r="G5449" s="13"/>
    </row>
    <row r="5450" spans="2:8" hidden="1" outlineLevel="1">
      <c r="B5450" s="12"/>
      <c r="C5450" t="str">
        <f>$F$5951</f>
        <v>Show</v>
      </c>
      <c r="D5450" s="23"/>
      <c r="E5450" s="12"/>
      <c r="F5450" s="70" t="s">
        <v>119</v>
      </c>
      <c r="G5450" s="12" t="s">
        <v>3488</v>
      </c>
    </row>
    <row r="5451" spans="2:8" hidden="1" outlineLevel="1">
      <c r="B5451" s="12"/>
      <c r="C5451" s="9" t="str">
        <f>C5450</f>
        <v>Show</v>
      </c>
      <c r="D5451" s="23"/>
      <c r="E5451" s="12"/>
      <c r="G5451" s="78" t="s">
        <v>121</v>
      </c>
      <c r="H5451" s="75" t="s">
        <v>2925</v>
      </c>
    </row>
    <row r="5452" spans="2:8" hidden="1" outlineLevel="1">
      <c r="B5452" s="12" t="s">
        <v>2697</v>
      </c>
      <c r="C5452" t="str">
        <f>$F$5952</f>
        <v>Show</v>
      </c>
      <c r="D5452" s="23"/>
      <c r="E5452" s="12"/>
      <c r="F5452" s="70" t="str">
        <f>CHAR(65+(COUNTIF(C$5450:C5451,"Show")/2))&amp;"."</f>
        <v>B.</v>
      </c>
      <c r="G5452" s="12" t="s">
        <v>3452</v>
      </c>
    </row>
    <row r="5453" spans="2:8" hidden="1" outlineLevel="1">
      <c r="B5453" s="12" t="s">
        <v>2697</v>
      </c>
      <c r="C5453" t="str">
        <f>C5452</f>
        <v>Show</v>
      </c>
      <c r="D5453" s="23"/>
      <c r="E5453" s="12"/>
      <c r="G5453" s="78" t="s">
        <v>121</v>
      </c>
      <c r="H5453" s="75" t="s">
        <v>2773</v>
      </c>
    </row>
    <row r="5454" spans="2:8" hidden="1" outlineLevel="1">
      <c r="B5454" s="12" t="s">
        <v>2697</v>
      </c>
      <c r="C5454" s="9" t="str">
        <f>C5435</f>
        <v>Show</v>
      </c>
    </row>
    <row r="5455" spans="2:8" collapsed="1">
      <c r="B5455" s="23"/>
      <c r="C5455" s="2" t="str">
        <f>C5456</f>
        <v>Show</v>
      </c>
      <c r="D5455" s="55" t="s">
        <v>1743</v>
      </c>
      <c r="E5455" s="60"/>
      <c r="F5455" s="57" t="s">
        <v>1741</v>
      </c>
      <c r="G5455" s="59"/>
      <c r="H5455" s="54"/>
    </row>
    <row r="5456" spans="2:8" hidden="1" outlineLevel="1">
      <c r="B5456" s="76"/>
      <c r="C5456" s="2" t="str">
        <f>IF((COUNTIF(C5464:C5465,"Show"))&gt;0,"Show","Hide")</f>
        <v>Show</v>
      </c>
      <c r="D5456" s="23" t="s">
        <v>117</v>
      </c>
      <c r="E5456" s="13"/>
      <c r="G5456" s="13"/>
    </row>
    <row r="5457" spans="2:8" hidden="1" outlineLevel="1">
      <c r="B5457" s="76"/>
      <c r="C5457" s="9" t="str">
        <f>C5456</f>
        <v>Show</v>
      </c>
      <c r="D5457" s="23"/>
      <c r="E5457" s="13">
        <v>1.1000000000000001</v>
      </c>
      <c r="F5457" s="11" t="s">
        <v>118</v>
      </c>
      <c r="G5457" s="13"/>
    </row>
    <row r="5458" spans="2:8" hidden="1" outlineLevel="1">
      <c r="B5458" s="76"/>
      <c r="C5458" s="9" t="str">
        <f>C5457</f>
        <v>Show</v>
      </c>
      <c r="D5458" s="23"/>
      <c r="E5458" s="13"/>
      <c r="F5458" s="70" t="s">
        <v>119</v>
      </c>
      <c r="G5458" s="18" t="s">
        <v>677</v>
      </c>
    </row>
    <row r="5459" spans="2:8" hidden="1" outlineLevel="1">
      <c r="B5459" s="76"/>
      <c r="C5459" s="9" t="str">
        <f>C5458</f>
        <v>Show</v>
      </c>
      <c r="D5459" s="23"/>
      <c r="E5459" s="13"/>
      <c r="F5459" s="70"/>
      <c r="G5459" s="78" t="s">
        <v>121</v>
      </c>
      <c r="H5459" s="79" t="s">
        <v>2301</v>
      </c>
    </row>
    <row r="5460" spans="2:8" hidden="1" outlineLevel="1">
      <c r="B5460" s="76"/>
      <c r="C5460" s="9" t="str">
        <f>C5456</f>
        <v>Show</v>
      </c>
      <c r="D5460" s="23" t="s">
        <v>613</v>
      </c>
      <c r="E5460" s="13"/>
      <c r="G5460" s="13"/>
    </row>
    <row r="5461" spans="2:8" hidden="1" outlineLevel="1">
      <c r="B5461" s="76"/>
      <c r="C5461" s="9" t="str">
        <f>C5456</f>
        <v>Show</v>
      </c>
      <c r="D5461" s="23"/>
      <c r="E5461" s="12" t="s">
        <v>2703</v>
      </c>
      <c r="G5461" s="13"/>
    </row>
    <row r="5462" spans="2:8" hidden="1" outlineLevel="1">
      <c r="B5462" s="76"/>
      <c r="C5462" s="9" t="str">
        <f>C5456</f>
        <v>Show</v>
      </c>
      <c r="D5462" s="23" t="s">
        <v>187</v>
      </c>
      <c r="E5462" s="13"/>
      <c r="G5462" s="13"/>
    </row>
    <row r="5463" spans="2:8" hidden="1" outlineLevel="1">
      <c r="B5463" s="76"/>
      <c r="C5463" s="9" t="str">
        <f>C5456</f>
        <v>Show</v>
      </c>
      <c r="D5463" s="23"/>
      <c r="E5463" s="12" t="str">
        <f>IF(COUNTIF(C5464:C5465,"Show")&gt;0,"3.1 Execution Requirements","No EGC Requirements")</f>
        <v>3.1 Execution Requirements</v>
      </c>
      <c r="G5463" s="13"/>
    </row>
    <row r="5464" spans="2:8" hidden="1" outlineLevel="1">
      <c r="B5464" s="76"/>
      <c r="C5464" t="str">
        <f>$F$5940</f>
        <v>Show</v>
      </c>
      <c r="D5464" s="23"/>
      <c r="E5464" s="13"/>
      <c r="F5464" s="70" t="s">
        <v>119</v>
      </c>
      <c r="G5464" s="12" t="s">
        <v>3489</v>
      </c>
    </row>
    <row r="5465" spans="2:8" ht="30" hidden="1" outlineLevel="1">
      <c r="B5465" s="76"/>
      <c r="C5465" s="9" t="str">
        <f>C5464</f>
        <v>Show</v>
      </c>
      <c r="D5465" s="23"/>
      <c r="E5465" s="13"/>
      <c r="G5465" s="78" t="s">
        <v>121</v>
      </c>
      <c r="H5465" s="75" t="s">
        <v>2927</v>
      </c>
    </row>
    <row r="5466" spans="2:8" hidden="1" outlineLevel="1">
      <c r="B5466" s="76"/>
      <c r="C5466" s="9" t="str">
        <f>C5456</f>
        <v>Show</v>
      </c>
    </row>
    <row r="5467" spans="2:8" collapsed="1">
      <c r="B5467" s="23"/>
      <c r="C5467" s="2" t="str">
        <f>C5468</f>
        <v>Show</v>
      </c>
      <c r="D5467" s="55" t="s">
        <v>1744</v>
      </c>
      <c r="E5467" s="55"/>
      <c r="F5467" s="57" t="s">
        <v>1742</v>
      </c>
      <c r="G5467" s="59"/>
      <c r="H5467" s="54"/>
    </row>
    <row r="5468" spans="2:8" hidden="1" outlineLevel="1">
      <c r="B5468" s="76"/>
      <c r="C5468" s="2" t="str">
        <f>IF((COUNTIF(C5476:C5477,"Show"))&gt;0,"Show","Hide")</f>
        <v>Show</v>
      </c>
      <c r="D5468" s="23" t="s">
        <v>117</v>
      </c>
      <c r="E5468" s="13"/>
      <c r="G5468" s="13"/>
    </row>
    <row r="5469" spans="2:8" hidden="1" outlineLevel="1">
      <c r="B5469" s="76"/>
      <c r="C5469" s="9" t="str">
        <f>C5468</f>
        <v>Show</v>
      </c>
      <c r="D5469" s="23"/>
      <c r="E5469" s="13">
        <v>1.1000000000000001</v>
      </c>
      <c r="F5469" s="11" t="s">
        <v>118</v>
      </c>
      <c r="G5469" s="13"/>
    </row>
    <row r="5470" spans="2:8" hidden="1" outlineLevel="1">
      <c r="B5470" s="76"/>
      <c r="C5470" s="9" t="str">
        <f>C5469</f>
        <v>Show</v>
      </c>
      <c r="D5470" s="23"/>
      <c r="E5470" s="13"/>
      <c r="F5470" s="70" t="s">
        <v>119</v>
      </c>
      <c r="G5470" s="18" t="s">
        <v>677</v>
      </c>
    </row>
    <row r="5471" spans="2:8" hidden="1" outlineLevel="1">
      <c r="B5471" s="76"/>
      <c r="C5471" s="9" t="str">
        <f>C5470</f>
        <v>Show</v>
      </c>
      <c r="D5471" s="23"/>
      <c r="E5471" s="13"/>
      <c r="F5471" s="70"/>
      <c r="G5471" s="78" t="s">
        <v>121</v>
      </c>
      <c r="H5471" s="79" t="s">
        <v>2301</v>
      </c>
    </row>
    <row r="5472" spans="2:8" hidden="1" outlineLevel="1">
      <c r="B5472" s="76"/>
      <c r="C5472" s="9" t="str">
        <f>C5468</f>
        <v>Show</v>
      </c>
      <c r="D5472" s="23" t="s">
        <v>613</v>
      </c>
      <c r="E5472" s="13"/>
      <c r="G5472" s="13"/>
    </row>
    <row r="5473" spans="2:8" hidden="1" outlineLevel="1">
      <c r="B5473" s="76"/>
      <c r="C5473" s="9" t="str">
        <f>C5468</f>
        <v>Show</v>
      </c>
      <c r="D5473" s="23"/>
      <c r="E5473" s="12" t="s">
        <v>2703</v>
      </c>
      <c r="G5473" s="13"/>
    </row>
    <row r="5474" spans="2:8" hidden="1" outlineLevel="1">
      <c r="B5474" s="76"/>
      <c r="C5474" s="9" t="str">
        <f>C5468</f>
        <v>Show</v>
      </c>
      <c r="D5474" s="23" t="s">
        <v>187</v>
      </c>
      <c r="E5474" s="13"/>
      <c r="G5474" s="13"/>
    </row>
    <row r="5475" spans="2:8" hidden="1" outlineLevel="1">
      <c r="B5475" s="76"/>
      <c r="C5475" s="9" t="str">
        <f>C5468</f>
        <v>Show</v>
      </c>
      <c r="D5475" s="23"/>
      <c r="E5475" s="12" t="str">
        <f>IF(COUNTIF(C5476:C5477,"Show")&gt;0,"3.1 Execution Requirements","No EGC Requirements")</f>
        <v>3.1 Execution Requirements</v>
      </c>
      <c r="G5475" s="13"/>
    </row>
    <row r="5476" spans="2:8" hidden="1" outlineLevel="1">
      <c r="B5476" s="76"/>
      <c r="C5476" t="str">
        <f>$F$5940</f>
        <v>Show</v>
      </c>
      <c r="D5476" s="23"/>
      <c r="E5476" s="13"/>
      <c r="F5476" s="70" t="s">
        <v>119</v>
      </c>
      <c r="G5476" s="12" t="s">
        <v>3489</v>
      </c>
    </row>
    <row r="5477" spans="2:8" ht="30" hidden="1" outlineLevel="1">
      <c r="B5477" s="76"/>
      <c r="C5477" s="9" t="str">
        <f>C5476</f>
        <v>Show</v>
      </c>
      <c r="D5477" s="23"/>
      <c r="E5477" s="13"/>
      <c r="G5477" s="78" t="s">
        <v>121</v>
      </c>
      <c r="H5477" s="75" t="s">
        <v>2927</v>
      </c>
    </row>
    <row r="5478" spans="2:8" hidden="1" outlineLevel="1">
      <c r="B5478" s="76"/>
      <c r="C5478" s="9" t="str">
        <f>C5468</f>
        <v>Show</v>
      </c>
    </row>
    <row r="5479" spans="2:8" collapsed="1">
      <c r="B5479" s="23"/>
      <c r="C5479" s="2" t="str">
        <f>C5480</f>
        <v>Show</v>
      </c>
      <c r="D5479" s="60" t="s">
        <v>584</v>
      </c>
      <c r="E5479" s="55"/>
      <c r="F5479" s="56" t="s">
        <v>585</v>
      </c>
      <c r="G5479" s="59"/>
      <c r="H5479" s="54"/>
    </row>
    <row r="5480" spans="2:8" hidden="1" outlineLevel="1">
      <c r="B5480" s="12" t="s">
        <v>2697</v>
      </c>
      <c r="C5480" s="2" t="str">
        <f>IF((COUNTIF(C5484:C5488,"Show")+COUNTIF(C5491:C5492,"Show")+COUNTIF(C5495:C5500,"Show"))&gt;0,"Show","Hide")</f>
        <v>Show</v>
      </c>
      <c r="D5480" s="23" t="s">
        <v>117</v>
      </c>
      <c r="E5480" s="13"/>
      <c r="G5480" s="13"/>
    </row>
    <row r="5481" spans="2:8" hidden="1" outlineLevel="1">
      <c r="B5481" s="12" t="s">
        <v>2697</v>
      </c>
      <c r="C5481" s="9" t="str">
        <f>C5480</f>
        <v>Show</v>
      </c>
      <c r="D5481" s="23"/>
      <c r="E5481" s="13">
        <v>1.1000000000000001</v>
      </c>
      <c r="F5481" s="11" t="s">
        <v>118</v>
      </c>
      <c r="G5481" s="13"/>
    </row>
    <row r="5482" spans="2:8" hidden="1" outlineLevel="1">
      <c r="B5482" s="12" t="s">
        <v>2697</v>
      </c>
      <c r="C5482" s="9" t="str">
        <f>C5481</f>
        <v>Show</v>
      </c>
      <c r="D5482" s="23"/>
      <c r="E5482" s="13"/>
      <c r="F5482" s="70" t="s">
        <v>119</v>
      </c>
      <c r="G5482" s="18" t="s">
        <v>677</v>
      </c>
    </row>
    <row r="5483" spans="2:8" hidden="1" outlineLevel="1">
      <c r="B5483" s="12" t="s">
        <v>2697</v>
      </c>
      <c r="C5483" s="9" t="str">
        <f>C5482</f>
        <v>Show</v>
      </c>
      <c r="D5483" s="23"/>
      <c r="E5483" s="13"/>
      <c r="F5483" s="70"/>
      <c r="G5483" s="78" t="s">
        <v>121</v>
      </c>
      <c r="H5483" s="79" t="s">
        <v>2301</v>
      </c>
    </row>
    <row r="5484" spans="2:8" hidden="1" outlineLevel="1">
      <c r="B5484" s="12" t="s">
        <v>2697</v>
      </c>
      <c r="C5484" s="9" t="str">
        <f>IF(COUNTIF(C5485:C5488,"Show")&gt;0,"Show","Hide")</f>
        <v>Show</v>
      </c>
      <c r="D5484" s="23"/>
      <c r="E5484" s="13">
        <v>1.2</v>
      </c>
      <c r="F5484" s="71" t="s">
        <v>131</v>
      </c>
      <c r="G5484" s="78"/>
    </row>
    <row r="5485" spans="2:8" hidden="1" outlineLevel="1">
      <c r="B5485" s="12" t="s">
        <v>2697</v>
      </c>
      <c r="C5485" t="str">
        <f>$D$5951</f>
        <v>Show</v>
      </c>
      <c r="D5485" s="23"/>
      <c r="E5485" s="13"/>
      <c r="F5485" s="70" t="s">
        <v>119</v>
      </c>
      <c r="G5485" s="12" t="s">
        <v>3488</v>
      </c>
    </row>
    <row r="5486" spans="2:8" hidden="1" outlineLevel="1">
      <c r="B5486" s="12" t="s">
        <v>2697</v>
      </c>
      <c r="C5486" s="9" t="str">
        <f>C5485</f>
        <v>Show</v>
      </c>
      <c r="D5486" s="23"/>
      <c r="E5486" s="13"/>
      <c r="G5486" s="78" t="s">
        <v>121</v>
      </c>
      <c r="H5486" s="75" t="s">
        <v>2926</v>
      </c>
    </row>
    <row r="5487" spans="2:8" hidden="1" outlineLevel="1">
      <c r="B5487" s="12" t="s">
        <v>2697</v>
      </c>
      <c r="C5487" t="str">
        <f>$D$5955</f>
        <v>Show</v>
      </c>
      <c r="D5487" s="23"/>
      <c r="E5487" s="13"/>
      <c r="F5487" s="70" t="str">
        <f>CHAR(65+(COUNTIF(C$5485:C5486,"Show")/2))&amp;"."</f>
        <v>B.</v>
      </c>
      <c r="G5487" s="12" t="s">
        <v>3435</v>
      </c>
    </row>
    <row r="5488" spans="2:8" hidden="1" outlineLevel="1">
      <c r="B5488" s="12" t="s">
        <v>2697</v>
      </c>
      <c r="C5488" s="9" t="str">
        <f>C5487</f>
        <v>Show</v>
      </c>
      <c r="D5488" s="23"/>
      <c r="E5488" s="13"/>
      <c r="F5488" s="70"/>
      <c r="G5488" s="78" t="s">
        <v>121</v>
      </c>
      <c r="H5488" s="75" t="s">
        <v>2538</v>
      </c>
    </row>
    <row r="5489" spans="2:8" hidden="1" outlineLevel="1">
      <c r="B5489" s="12" t="s">
        <v>2697</v>
      </c>
      <c r="C5489" s="9" t="str">
        <f>C5480</f>
        <v>Show</v>
      </c>
      <c r="D5489" s="23" t="s">
        <v>613</v>
      </c>
      <c r="E5489" s="13"/>
      <c r="G5489" s="13"/>
    </row>
    <row r="5490" spans="2:8" hidden="1" outlineLevel="1">
      <c r="B5490" s="12" t="s">
        <v>2697</v>
      </c>
      <c r="C5490" s="9" t="str">
        <f>C5480</f>
        <v>Show</v>
      </c>
      <c r="D5490" s="23"/>
      <c r="E5490" s="12" t="str">
        <f>IF(COUNTIF(C5491:C5492,"Show")&gt;0,"2.1 Product Requirements","No EGC Requirements")</f>
        <v>2.1 Product Requirements</v>
      </c>
      <c r="G5490" s="13"/>
    </row>
    <row r="5491" spans="2:8" hidden="1" outlineLevel="1">
      <c r="B5491" s="12" t="s">
        <v>2697</v>
      </c>
      <c r="C5491" t="str">
        <f>$E$5955</f>
        <v>Show</v>
      </c>
      <c r="D5491" s="23"/>
      <c r="E5491" s="12"/>
      <c r="F5491" s="70" t="s">
        <v>119</v>
      </c>
      <c r="G5491" s="12" t="s">
        <v>3435</v>
      </c>
    </row>
    <row r="5492" spans="2:8" hidden="1" outlineLevel="1">
      <c r="B5492" s="12" t="s">
        <v>2697</v>
      </c>
      <c r="C5492" s="9" t="str">
        <f>C5491</f>
        <v>Show</v>
      </c>
      <c r="D5492" s="23"/>
      <c r="E5492" s="12"/>
      <c r="F5492" s="70"/>
      <c r="G5492" s="30" t="s">
        <v>121</v>
      </c>
      <c r="H5492" s="75" t="s">
        <v>2539</v>
      </c>
    </row>
    <row r="5493" spans="2:8" hidden="1" outlineLevel="1">
      <c r="B5493" s="12" t="s">
        <v>2697</v>
      </c>
      <c r="C5493" s="9" t="str">
        <f>C5480</f>
        <v>Show</v>
      </c>
      <c r="D5493" s="23" t="s">
        <v>187</v>
      </c>
      <c r="E5493" s="13"/>
      <c r="G5493" s="13"/>
    </row>
    <row r="5494" spans="2:8" hidden="1" outlineLevel="1">
      <c r="B5494" s="12" t="s">
        <v>2697</v>
      </c>
      <c r="C5494" s="9" t="str">
        <f>C5480</f>
        <v>Show</v>
      </c>
      <c r="D5494" s="23"/>
      <c r="E5494" s="12" t="str">
        <f>IF(COUNTIF(C5495:C5500,"Show")&gt;0,"3.1 Execution Requirements","No EGC Requirements")</f>
        <v>3.1 Execution Requirements</v>
      </c>
      <c r="G5494" s="13"/>
    </row>
    <row r="5495" spans="2:8" hidden="1" outlineLevel="1">
      <c r="B5495" s="12" t="s">
        <v>2697</v>
      </c>
      <c r="C5495" t="str">
        <f>$F$5940</f>
        <v>Show</v>
      </c>
      <c r="D5495" s="23"/>
      <c r="E5495" s="12"/>
      <c r="F5495" s="70" t="s">
        <v>119</v>
      </c>
      <c r="G5495" s="12" t="s">
        <v>3489</v>
      </c>
    </row>
    <row r="5496" spans="2:8" ht="30" hidden="1" outlineLevel="1">
      <c r="B5496" s="12" t="s">
        <v>2697</v>
      </c>
      <c r="C5496" t="str">
        <f>C5495</f>
        <v>Show</v>
      </c>
      <c r="D5496" s="23"/>
      <c r="E5496" s="12"/>
      <c r="G5496" s="78" t="s">
        <v>121</v>
      </c>
      <c r="H5496" s="75" t="s">
        <v>2927</v>
      </c>
    </row>
    <row r="5497" spans="2:8" hidden="1" outlineLevel="1">
      <c r="B5497" s="12"/>
      <c r="C5497" t="str">
        <f>$F$5951</f>
        <v>Show</v>
      </c>
      <c r="D5497" s="23"/>
      <c r="E5497" s="12"/>
      <c r="F5497" s="70" t="str">
        <f>CHAR(65+(COUNTIF(C$5495:C5496,"Show")/2))&amp;"."</f>
        <v>B.</v>
      </c>
      <c r="G5497" s="12" t="s">
        <v>3488</v>
      </c>
    </row>
    <row r="5498" spans="2:8" hidden="1" outlineLevel="1">
      <c r="B5498" s="12"/>
      <c r="C5498" t="str">
        <f>C5497</f>
        <v>Show</v>
      </c>
      <c r="D5498" s="23"/>
      <c r="E5498" s="12"/>
      <c r="G5498" s="78" t="s">
        <v>121</v>
      </c>
      <c r="H5498" s="75" t="s">
        <v>2925</v>
      </c>
    </row>
    <row r="5499" spans="2:8" hidden="1" outlineLevel="1">
      <c r="B5499" s="12" t="s">
        <v>2697</v>
      </c>
      <c r="C5499" t="str">
        <f>$F$5955</f>
        <v>Show</v>
      </c>
      <c r="D5499" s="23"/>
      <c r="E5499" s="12"/>
      <c r="F5499" s="70" t="str">
        <f>CHAR(65+(COUNTIF(C$5495:C5498,"Show")/2))&amp;"."</f>
        <v>C.</v>
      </c>
      <c r="G5499" s="12" t="s">
        <v>3435</v>
      </c>
    </row>
    <row r="5500" spans="2:8" ht="30" hidden="1" outlineLevel="1">
      <c r="B5500" s="12" t="s">
        <v>2697</v>
      </c>
      <c r="C5500" s="9" t="str">
        <f>C5499</f>
        <v>Show</v>
      </c>
      <c r="D5500" s="23"/>
      <c r="E5500" s="12"/>
      <c r="F5500" s="70"/>
      <c r="G5500" s="78" t="s">
        <v>121</v>
      </c>
      <c r="H5500" s="75" t="s">
        <v>2540</v>
      </c>
    </row>
    <row r="5501" spans="2:8" hidden="1" outlineLevel="1">
      <c r="B5501" s="12" t="s">
        <v>2697</v>
      </c>
      <c r="C5501" s="9" t="str">
        <f>C5480</f>
        <v>Show</v>
      </c>
    </row>
    <row r="5502" spans="2:8" collapsed="1">
      <c r="B5502" s="23"/>
      <c r="C5502" s="2" t="str">
        <f>C5503</f>
        <v>Show</v>
      </c>
      <c r="D5502" s="60" t="s">
        <v>586</v>
      </c>
      <c r="E5502" s="60"/>
      <c r="F5502" s="56" t="s">
        <v>587</v>
      </c>
      <c r="G5502" s="59"/>
      <c r="H5502" s="54"/>
    </row>
    <row r="5503" spans="2:8" hidden="1" outlineLevel="1">
      <c r="B5503" s="12" t="s">
        <v>2697</v>
      </c>
      <c r="C5503" s="2" t="str">
        <f>IF((COUNTIF(C5507:C5509,"Show")+COUNTIF(C5512:C5513,"Show")+COUNTIF(C5516:C5517,"Show"))&gt;0,"Show","Hide")</f>
        <v>Show</v>
      </c>
      <c r="D5503" s="23" t="s">
        <v>117</v>
      </c>
      <c r="E5503" s="13"/>
      <c r="G5503" s="13"/>
    </row>
    <row r="5504" spans="2:8" hidden="1" outlineLevel="1">
      <c r="B5504" s="12" t="s">
        <v>2697</v>
      </c>
      <c r="C5504" s="9" t="str">
        <f>C5503</f>
        <v>Show</v>
      </c>
      <c r="D5504" s="23"/>
      <c r="E5504" s="13">
        <v>1.1000000000000001</v>
      </c>
      <c r="F5504" s="11" t="s">
        <v>118</v>
      </c>
      <c r="G5504" s="13"/>
    </row>
    <row r="5505" spans="2:8" hidden="1" outlineLevel="1">
      <c r="B5505" s="12" t="s">
        <v>2697</v>
      </c>
      <c r="C5505" s="9" t="str">
        <f>C5504</f>
        <v>Show</v>
      </c>
      <c r="D5505" s="23"/>
      <c r="E5505" s="13"/>
      <c r="F5505" s="70" t="s">
        <v>119</v>
      </c>
      <c r="G5505" s="18" t="s">
        <v>677</v>
      </c>
    </row>
    <row r="5506" spans="2:8" hidden="1" outlineLevel="1">
      <c r="B5506" s="12" t="s">
        <v>2697</v>
      </c>
      <c r="C5506" s="9" t="str">
        <f>C5505</f>
        <v>Show</v>
      </c>
      <c r="D5506" s="23"/>
      <c r="E5506" s="13"/>
      <c r="F5506" s="70"/>
      <c r="G5506" s="78" t="s">
        <v>121</v>
      </c>
      <c r="H5506" s="79" t="s">
        <v>2301</v>
      </c>
    </row>
    <row r="5507" spans="2:8" hidden="1" outlineLevel="1">
      <c r="B5507" s="12" t="s">
        <v>2697</v>
      </c>
      <c r="C5507" s="9" t="str">
        <f>IF(COUNTIF(C5508:C5509,"Show")&gt;0,"Show","Hide")</f>
        <v>Show</v>
      </c>
      <c r="D5507" s="23"/>
      <c r="E5507" s="13">
        <v>1.2</v>
      </c>
      <c r="F5507" s="71" t="s">
        <v>131</v>
      </c>
      <c r="G5507" s="78"/>
    </row>
    <row r="5508" spans="2:8" hidden="1" outlineLevel="1">
      <c r="B5508" s="12" t="s">
        <v>2697</v>
      </c>
      <c r="C5508" t="str">
        <f>$D$5951</f>
        <v>Show</v>
      </c>
      <c r="D5508" s="23"/>
      <c r="E5508" s="13"/>
      <c r="F5508" s="70" t="s">
        <v>119</v>
      </c>
      <c r="G5508" s="12" t="s">
        <v>3488</v>
      </c>
    </row>
    <row r="5509" spans="2:8" hidden="1" outlineLevel="1">
      <c r="B5509" s="12" t="s">
        <v>2697</v>
      </c>
      <c r="C5509" s="9" t="str">
        <f>C5508</f>
        <v>Show</v>
      </c>
      <c r="D5509" s="23"/>
      <c r="E5509" s="13"/>
      <c r="G5509" s="78" t="s">
        <v>121</v>
      </c>
      <c r="H5509" s="75" t="s">
        <v>2926</v>
      </c>
    </row>
    <row r="5510" spans="2:8" hidden="1" outlineLevel="1">
      <c r="B5510" s="12" t="s">
        <v>2697</v>
      </c>
      <c r="C5510" s="9" t="str">
        <f>C5503</f>
        <v>Show</v>
      </c>
      <c r="D5510" s="23" t="s">
        <v>613</v>
      </c>
      <c r="E5510" s="13"/>
      <c r="G5510" s="13"/>
    </row>
    <row r="5511" spans="2:8" hidden="1" outlineLevel="1">
      <c r="B5511" s="12" t="s">
        <v>2697</v>
      </c>
      <c r="C5511" s="9" t="str">
        <f>C5503</f>
        <v>Show</v>
      </c>
      <c r="D5511" s="23"/>
      <c r="E5511" s="12" t="str">
        <f>IF(COUNTIF(C5512:C5513,"Show")&gt;0,"2.1 Product Requirements","No EGC Requirements")</f>
        <v>2.1 Product Requirements</v>
      </c>
      <c r="G5511" s="13"/>
    </row>
    <row r="5512" spans="2:8" hidden="1" outlineLevel="1">
      <c r="B5512" s="12" t="s">
        <v>2697</v>
      </c>
      <c r="C5512" t="str">
        <f>$E$5951</f>
        <v>Show</v>
      </c>
      <c r="D5512" s="23"/>
      <c r="E5512" s="12"/>
      <c r="F5512" s="70" t="s">
        <v>119</v>
      </c>
      <c r="G5512" s="12" t="s">
        <v>3435</v>
      </c>
      <c r="H5512" s="69" t="s">
        <v>3488</v>
      </c>
    </row>
    <row r="5513" spans="2:8" hidden="1" outlineLevel="1">
      <c r="B5513" s="12" t="s">
        <v>2697</v>
      </c>
      <c r="C5513" s="9" t="str">
        <f>C5512</f>
        <v>Show</v>
      </c>
      <c r="D5513" s="23"/>
      <c r="E5513" s="12"/>
      <c r="F5513" s="70"/>
      <c r="G5513" s="30" t="s">
        <v>121</v>
      </c>
      <c r="H5513" s="75" t="s">
        <v>2928</v>
      </c>
    </row>
    <row r="5514" spans="2:8" hidden="1" outlineLevel="1">
      <c r="B5514" s="12" t="s">
        <v>2697</v>
      </c>
      <c r="C5514" s="9" t="str">
        <f>C5503</f>
        <v>Show</v>
      </c>
      <c r="D5514" s="23" t="s">
        <v>187</v>
      </c>
      <c r="E5514" s="13"/>
      <c r="G5514" s="13"/>
    </row>
    <row r="5515" spans="2:8" hidden="1" outlineLevel="1">
      <c r="B5515" s="12" t="s">
        <v>2697</v>
      </c>
      <c r="C5515" s="9" t="str">
        <f>C5503</f>
        <v>Show</v>
      </c>
      <c r="D5515" s="23"/>
      <c r="E5515" s="12" t="str">
        <f>IF(COUNTIF(C5516:C5517,"Show")&gt;0,"3.1 Execution Requirements","No EGC Requirements")</f>
        <v>3.1 Execution Requirements</v>
      </c>
      <c r="G5515" s="13"/>
    </row>
    <row r="5516" spans="2:8" hidden="1" outlineLevel="1">
      <c r="B5516" s="12"/>
      <c r="C5516" t="str">
        <f>$F$5951</f>
        <v>Show</v>
      </c>
      <c r="D5516" s="23"/>
      <c r="E5516" s="12"/>
      <c r="F5516" s="70" t="s">
        <v>119</v>
      </c>
      <c r="G5516" s="12" t="s">
        <v>3488</v>
      </c>
    </row>
    <row r="5517" spans="2:8" hidden="1" outlineLevel="1">
      <c r="B5517" s="12"/>
      <c r="C5517" t="str">
        <f>C5516</f>
        <v>Show</v>
      </c>
      <c r="D5517" s="23"/>
      <c r="E5517" s="12"/>
      <c r="G5517" s="78" t="s">
        <v>121</v>
      </c>
      <c r="H5517" s="75" t="s">
        <v>2925</v>
      </c>
    </row>
    <row r="5518" spans="2:8" hidden="1" outlineLevel="1">
      <c r="B5518" s="12" t="s">
        <v>2697</v>
      </c>
      <c r="C5518" s="9" t="str">
        <f>C5503</f>
        <v>Show</v>
      </c>
    </row>
    <row r="5519" spans="2:8" collapsed="1">
      <c r="B5519" s="23"/>
      <c r="C5519" s="2" t="str">
        <f>C5520</f>
        <v>Show</v>
      </c>
      <c r="D5519" s="60" t="s">
        <v>341</v>
      </c>
      <c r="E5519" s="60"/>
      <c r="F5519" s="56" t="s">
        <v>588</v>
      </c>
      <c r="G5519" s="59"/>
      <c r="H5519" s="54"/>
    </row>
    <row r="5520" spans="2:8" hidden="1" outlineLevel="1">
      <c r="B5520" s="12" t="s">
        <v>2697</v>
      </c>
      <c r="C5520" s="2" t="str">
        <f>IF((COUNTIF(C5524:C5528,"Show")+COUNTIF(C5533:C5534,"Show")+COUNTIF(C5539:C5542,"Show"))&gt;0,"Show","Hide")</f>
        <v>Show</v>
      </c>
      <c r="D5520" s="23" t="s">
        <v>117</v>
      </c>
      <c r="E5520" s="13"/>
      <c r="G5520" s="13"/>
    </row>
    <row r="5521" spans="2:8" hidden="1" outlineLevel="1">
      <c r="B5521" s="12" t="s">
        <v>2697</v>
      </c>
      <c r="C5521" s="9" t="str">
        <f>C5520</f>
        <v>Show</v>
      </c>
      <c r="D5521" s="23"/>
      <c r="E5521" s="13">
        <v>1.1000000000000001</v>
      </c>
      <c r="F5521" s="11" t="s">
        <v>118</v>
      </c>
      <c r="G5521" s="13"/>
    </row>
    <row r="5522" spans="2:8" hidden="1" outlineLevel="1">
      <c r="B5522" s="12" t="s">
        <v>2697</v>
      </c>
      <c r="C5522" s="9" t="str">
        <f>C5521</f>
        <v>Show</v>
      </c>
      <c r="D5522" s="23"/>
      <c r="E5522" s="13"/>
      <c r="F5522" s="70" t="s">
        <v>119</v>
      </c>
      <c r="G5522" s="18" t="s">
        <v>677</v>
      </c>
    </row>
    <row r="5523" spans="2:8" hidden="1" outlineLevel="1">
      <c r="B5523" s="12" t="s">
        <v>2697</v>
      </c>
      <c r="C5523" s="9" t="str">
        <f>C5522</f>
        <v>Show</v>
      </c>
      <c r="D5523" s="23"/>
      <c r="E5523" s="13"/>
      <c r="F5523" s="70"/>
      <c r="G5523" s="78" t="s">
        <v>121</v>
      </c>
      <c r="H5523" s="79" t="s">
        <v>2301</v>
      </c>
    </row>
    <row r="5524" spans="2:8" hidden="1" outlineLevel="1">
      <c r="B5524" s="12" t="s">
        <v>2697</v>
      </c>
      <c r="C5524" s="9" t="str">
        <f>IF(COUNTIF(C5525:C5528,"Show")&gt;0,"Show","Hide")</f>
        <v>Show</v>
      </c>
      <c r="D5524" s="23"/>
      <c r="E5524" s="13">
        <v>1.2</v>
      </c>
      <c r="F5524" s="71" t="s">
        <v>131</v>
      </c>
      <c r="G5524" s="78"/>
    </row>
    <row r="5525" spans="2:8" hidden="1" outlineLevel="1">
      <c r="B5525" s="12" t="s">
        <v>2697</v>
      </c>
      <c r="C5525" t="str">
        <f>$D$5951</f>
        <v>Show</v>
      </c>
      <c r="D5525" s="23"/>
      <c r="E5525" s="13"/>
      <c r="F5525" s="70" t="s">
        <v>119</v>
      </c>
      <c r="G5525" s="12" t="s">
        <v>3488</v>
      </c>
    </row>
    <row r="5526" spans="2:8" hidden="1" outlineLevel="1">
      <c r="B5526" s="12" t="s">
        <v>2697</v>
      </c>
      <c r="C5526" s="9" t="str">
        <f>C5525</f>
        <v>Show</v>
      </c>
      <c r="D5526" s="23"/>
      <c r="E5526" s="13"/>
      <c r="G5526" s="78" t="s">
        <v>121</v>
      </c>
      <c r="H5526" s="75" t="s">
        <v>2926</v>
      </c>
    </row>
    <row r="5527" spans="2:8" hidden="1" outlineLevel="1">
      <c r="B5527" s="12" t="s">
        <v>2697</v>
      </c>
      <c r="C5527" t="str">
        <f>$D$5955</f>
        <v>Show</v>
      </c>
      <c r="D5527" s="23"/>
      <c r="E5527" s="13"/>
      <c r="F5527" s="70" t="str">
        <f>CHAR(65+(COUNTIF(C$5525:C5526,"Show")/2))&amp;"."</f>
        <v>B.</v>
      </c>
      <c r="G5527" s="12" t="s">
        <v>3435</v>
      </c>
    </row>
    <row r="5528" spans="2:8" hidden="1" outlineLevel="1">
      <c r="B5528" s="12" t="s">
        <v>2697</v>
      </c>
      <c r="C5528" s="9" t="str">
        <f>C5527</f>
        <v>Show</v>
      </c>
      <c r="D5528" s="23"/>
      <c r="E5528" s="13"/>
      <c r="F5528" s="70"/>
      <c r="G5528" s="78" t="s">
        <v>121</v>
      </c>
      <c r="H5528" s="75" t="s">
        <v>2538</v>
      </c>
    </row>
    <row r="5529" spans="2:8" hidden="1" outlineLevel="1">
      <c r="B5529" s="12" t="s">
        <v>2697</v>
      </c>
      <c r="C5529" s="9" t="str">
        <f>C5520</f>
        <v>Show</v>
      </c>
      <c r="D5529" s="23" t="s">
        <v>613</v>
      </c>
      <c r="E5529" s="13"/>
      <c r="G5529" s="13"/>
    </row>
    <row r="5530" spans="2:8" hidden="1" outlineLevel="1">
      <c r="B5530" s="12" t="s">
        <v>2697</v>
      </c>
      <c r="C5530" s="9" t="str">
        <f>C5520</f>
        <v>Show</v>
      </c>
      <c r="D5530" s="23"/>
      <c r="E5530" s="12" t="str">
        <f>IF(COUNTIF(C5531:C5536,"Show")&gt;0,"2.1 Product Requirements","No EGC Requirements")</f>
        <v>2.1 Product Requirements</v>
      </c>
      <c r="G5530" s="13"/>
    </row>
    <row r="5531" spans="2:8" hidden="1" outlineLevel="1">
      <c r="B5531" s="12"/>
      <c r="C5531" t="str">
        <f>$E$5951</f>
        <v>Show</v>
      </c>
      <c r="D5531" s="23"/>
      <c r="E5531" s="12"/>
      <c r="F5531" s="70" t="s">
        <v>119</v>
      </c>
      <c r="G5531" s="12" t="s">
        <v>3488</v>
      </c>
    </row>
    <row r="5532" spans="2:8" hidden="1" outlineLevel="1">
      <c r="B5532" s="12"/>
      <c r="C5532" s="9" t="str">
        <f>C5531</f>
        <v>Show</v>
      </c>
      <c r="D5532" s="23"/>
      <c r="E5532" s="12"/>
      <c r="G5532" s="30" t="s">
        <v>121</v>
      </c>
      <c r="H5532" s="75" t="s">
        <v>2928</v>
      </c>
    </row>
    <row r="5533" spans="2:8" hidden="1" outlineLevel="1">
      <c r="B5533" s="12" t="s">
        <v>2697</v>
      </c>
      <c r="C5533" t="str">
        <f>$E$5955</f>
        <v>Show</v>
      </c>
      <c r="D5533" s="23"/>
      <c r="E5533" s="12"/>
      <c r="F5533" s="70" t="str">
        <f>CHAR(65+(COUNTIF(C$5531:C5532,"Show")/2))&amp;"."</f>
        <v>B.</v>
      </c>
      <c r="G5533" s="12" t="s">
        <v>3435</v>
      </c>
    </row>
    <row r="5534" spans="2:8" hidden="1" outlineLevel="1">
      <c r="B5534" s="12" t="s">
        <v>2697</v>
      </c>
      <c r="C5534" s="9" t="str">
        <f>C5533</f>
        <v>Show</v>
      </c>
      <c r="D5534" s="23"/>
      <c r="E5534" s="12"/>
      <c r="F5534" s="70"/>
      <c r="G5534" s="30" t="s">
        <v>121</v>
      </c>
      <c r="H5534" s="75" t="s">
        <v>2539</v>
      </c>
    </row>
    <row r="5535" spans="2:8" hidden="1" outlineLevel="1">
      <c r="B5535" s="12"/>
      <c r="C5535" t="str">
        <f>$E$5992</f>
        <v>Show</v>
      </c>
      <c r="D5535" s="23"/>
      <c r="E5535" s="12"/>
      <c r="F5535" s="70" t="str">
        <f>CHAR(65+(COUNTIF(C$5531:C5534,"Show")/2))&amp;"."</f>
        <v>C.</v>
      </c>
      <c r="G5535" s="12" t="s">
        <v>3447</v>
      </c>
    </row>
    <row r="5536" spans="2:8" ht="30" hidden="1" outlineLevel="1">
      <c r="B5536" s="12"/>
      <c r="C5536" s="9" t="str">
        <f>C5535</f>
        <v>Show</v>
      </c>
      <c r="D5536" s="23"/>
      <c r="E5536" s="12"/>
      <c r="F5536" s="70"/>
      <c r="G5536" s="30" t="s">
        <v>121</v>
      </c>
      <c r="H5536" s="75" t="s">
        <v>2919</v>
      </c>
    </row>
    <row r="5537" spans="2:8" hidden="1" outlineLevel="1">
      <c r="B5537" s="12" t="s">
        <v>2697</v>
      </c>
      <c r="C5537" s="9" t="str">
        <f>C5520</f>
        <v>Show</v>
      </c>
      <c r="D5537" s="23" t="s">
        <v>187</v>
      </c>
      <c r="E5537" s="13"/>
      <c r="G5537" s="13"/>
    </row>
    <row r="5538" spans="2:8" hidden="1" outlineLevel="1">
      <c r="B5538" s="12" t="s">
        <v>2697</v>
      </c>
      <c r="C5538" s="9" t="str">
        <f>C5520</f>
        <v>Show</v>
      </c>
      <c r="D5538" s="23"/>
      <c r="E5538" s="12" t="str">
        <f>IF(COUNTIF(C5539:C5544,"Show")&gt;0,"3.1 Execution Requirements","No EGC Requirements")</f>
        <v>3.1 Execution Requirements</v>
      </c>
      <c r="G5538" s="13"/>
    </row>
    <row r="5539" spans="2:8" hidden="1" outlineLevel="1">
      <c r="B5539" s="12"/>
      <c r="C5539" t="str">
        <f>$F$5951</f>
        <v>Show</v>
      </c>
      <c r="D5539" s="23"/>
      <c r="E5539" s="12"/>
      <c r="F5539" s="70" t="s">
        <v>119</v>
      </c>
      <c r="G5539" s="12" t="s">
        <v>3488</v>
      </c>
    </row>
    <row r="5540" spans="2:8" hidden="1" outlineLevel="1">
      <c r="B5540" s="12"/>
      <c r="C5540" t="str">
        <f>C5539</f>
        <v>Show</v>
      </c>
      <c r="D5540" s="23"/>
      <c r="E5540" s="12"/>
      <c r="G5540" s="78" t="s">
        <v>121</v>
      </c>
      <c r="H5540" s="75" t="s">
        <v>2925</v>
      </c>
    </row>
    <row r="5541" spans="2:8" hidden="1" outlineLevel="1">
      <c r="B5541" s="12" t="s">
        <v>2697</v>
      </c>
      <c r="C5541" t="str">
        <f>$F$5955</f>
        <v>Show</v>
      </c>
      <c r="D5541" s="23"/>
      <c r="E5541" s="12"/>
      <c r="F5541" s="70" t="str">
        <f>CHAR(65+(COUNTIF(C$5539:C5540,"Show")/2))&amp;"."</f>
        <v>B.</v>
      </c>
      <c r="G5541" s="12" t="s">
        <v>3435</v>
      </c>
    </row>
    <row r="5542" spans="2:8" ht="30" hidden="1" outlineLevel="1">
      <c r="B5542" s="12" t="s">
        <v>2697</v>
      </c>
      <c r="C5542" s="9" t="str">
        <f>C5541</f>
        <v>Show</v>
      </c>
      <c r="D5542" s="23"/>
      <c r="E5542" s="12"/>
      <c r="F5542" s="70"/>
      <c r="G5542" s="78" t="s">
        <v>121</v>
      </c>
      <c r="H5542" s="75" t="s">
        <v>2540</v>
      </c>
    </row>
    <row r="5543" spans="2:8" hidden="1" outlineLevel="1">
      <c r="B5543" s="12"/>
      <c r="C5543" t="str">
        <f>$F$5992</f>
        <v>Show</v>
      </c>
      <c r="D5543" s="23"/>
      <c r="E5543" s="12"/>
      <c r="F5543" s="70" t="str">
        <f>CHAR(65+(COUNTIF(C$5539:C5542,"Show")/2))&amp;"."</f>
        <v>C.</v>
      </c>
      <c r="G5543" s="12" t="s">
        <v>3447</v>
      </c>
    </row>
    <row r="5544" spans="2:8" ht="30" hidden="1" outlineLevel="1">
      <c r="B5544" s="12"/>
      <c r="C5544" s="9" t="str">
        <f>C5543</f>
        <v>Show</v>
      </c>
      <c r="D5544" s="23"/>
      <c r="E5544" s="12"/>
      <c r="F5544" s="70"/>
      <c r="G5544" s="78" t="s">
        <v>121</v>
      </c>
      <c r="H5544" s="75" t="s">
        <v>2934</v>
      </c>
    </row>
    <row r="5545" spans="2:8" hidden="1" outlineLevel="1">
      <c r="B5545" s="12" t="s">
        <v>2697</v>
      </c>
      <c r="C5545" s="9" t="str">
        <f>C5520</f>
        <v>Show</v>
      </c>
    </row>
    <row r="5546" spans="2:8" collapsed="1">
      <c r="B5546" s="23"/>
      <c r="C5546" s="2" t="str">
        <f>C5547</f>
        <v>Show</v>
      </c>
      <c r="D5546" s="60" t="s">
        <v>342</v>
      </c>
      <c r="E5546" s="60"/>
      <c r="F5546" s="56" t="s">
        <v>343</v>
      </c>
      <c r="G5546" s="59"/>
      <c r="H5546" s="54"/>
    </row>
    <row r="5547" spans="2:8" hidden="1" outlineLevel="1">
      <c r="B5547" s="76"/>
      <c r="C5547" s="2" t="str">
        <f>IF((COUNTIF(C5551:C5555,"Show")+COUNTIF(C5558:C5559,"Show")+COUNTIF(C5562:C5565,"Show"))&gt;0,"Show","Hide")</f>
        <v>Show</v>
      </c>
      <c r="D5547" s="23" t="s">
        <v>117</v>
      </c>
      <c r="E5547" s="13"/>
      <c r="G5547" s="13"/>
    </row>
    <row r="5548" spans="2:8" hidden="1" outlineLevel="1">
      <c r="B5548" s="76"/>
      <c r="C5548" s="9" t="str">
        <f>C5547</f>
        <v>Show</v>
      </c>
      <c r="D5548" s="23"/>
      <c r="E5548" s="13">
        <v>1.1000000000000001</v>
      </c>
      <c r="F5548" s="11" t="s">
        <v>118</v>
      </c>
      <c r="G5548" s="13"/>
    </row>
    <row r="5549" spans="2:8" hidden="1" outlineLevel="1">
      <c r="B5549" s="76"/>
      <c r="C5549" s="9" t="str">
        <f>C5548</f>
        <v>Show</v>
      </c>
      <c r="D5549" s="23"/>
      <c r="E5549" s="13"/>
      <c r="F5549" s="70" t="s">
        <v>119</v>
      </c>
      <c r="G5549" s="18" t="s">
        <v>677</v>
      </c>
    </row>
    <row r="5550" spans="2:8" hidden="1" outlineLevel="1">
      <c r="B5550" s="76"/>
      <c r="C5550" s="9" t="str">
        <f>C5549</f>
        <v>Show</v>
      </c>
      <c r="D5550" s="23"/>
      <c r="E5550" s="13"/>
      <c r="F5550" s="70"/>
      <c r="G5550" s="78" t="s">
        <v>121</v>
      </c>
      <c r="H5550" s="79" t="s">
        <v>2301</v>
      </c>
    </row>
    <row r="5551" spans="2:8" hidden="1" outlineLevel="1">
      <c r="B5551" s="76"/>
      <c r="C5551" s="9" t="str">
        <f>IF(COUNTIF(C5552:C5555,"Show")&gt;0,"Show","Hide")</f>
        <v>Show</v>
      </c>
      <c r="D5551" s="23"/>
      <c r="E5551" s="13">
        <v>1.2</v>
      </c>
      <c r="F5551" s="71" t="s">
        <v>131</v>
      </c>
      <c r="G5551" s="78"/>
    </row>
    <row r="5552" spans="2:8" hidden="1" outlineLevel="1">
      <c r="B5552" s="76"/>
      <c r="C5552" t="str">
        <f>$D$5949</f>
        <v>Show</v>
      </c>
      <c r="D5552" s="23"/>
      <c r="E5552" s="13"/>
      <c r="F5552" s="70" t="s">
        <v>119</v>
      </c>
      <c r="G5552" s="12" t="s">
        <v>3490</v>
      </c>
    </row>
    <row r="5553" spans="2:8" hidden="1" outlineLevel="1">
      <c r="B5553" s="76"/>
      <c r="C5553" s="9" t="str">
        <f>C5552</f>
        <v>Show</v>
      </c>
      <c r="D5553" s="23"/>
      <c r="E5553" s="13"/>
      <c r="F5553" s="70"/>
      <c r="G5553" s="78" t="s">
        <v>121</v>
      </c>
      <c r="H5553" s="75" t="s">
        <v>2929</v>
      </c>
    </row>
    <row r="5554" spans="2:8" hidden="1" outlineLevel="1">
      <c r="B5554" s="76"/>
      <c r="C5554" t="str">
        <f>$D$5950</f>
        <v>Show</v>
      </c>
      <c r="D5554" s="23"/>
      <c r="E5554" s="13"/>
      <c r="F5554" s="70" t="str">
        <f>CHAR(65+(COUNTIF(C$5552:C5553,"Show")/2))&amp;"."</f>
        <v>B.</v>
      </c>
      <c r="G5554" s="12" t="s">
        <v>3475</v>
      </c>
    </row>
    <row r="5555" spans="2:8" hidden="1" outlineLevel="1">
      <c r="B5555" s="76"/>
      <c r="C5555" s="9" t="str">
        <f>C5554</f>
        <v>Show</v>
      </c>
      <c r="D5555" s="23"/>
      <c r="E5555" s="13"/>
      <c r="F5555" s="70"/>
      <c r="G5555" s="78" t="s">
        <v>121</v>
      </c>
      <c r="H5555" s="75" t="s">
        <v>2882</v>
      </c>
    </row>
    <row r="5556" spans="2:8" hidden="1" outlineLevel="1">
      <c r="B5556" s="76"/>
      <c r="C5556" s="9" t="str">
        <f>C5547</f>
        <v>Show</v>
      </c>
      <c r="D5556" s="23" t="s">
        <v>613</v>
      </c>
      <c r="E5556" s="13"/>
      <c r="G5556" s="13"/>
    </row>
    <row r="5557" spans="2:8" hidden="1" outlineLevel="1">
      <c r="B5557" s="76"/>
      <c r="C5557" s="9" t="str">
        <f>C5547</f>
        <v>Show</v>
      </c>
      <c r="D5557" s="23"/>
      <c r="E5557" s="12" t="str">
        <f>IF(COUNTIF(C5558:C5559,"Show")&gt;0,"2.1 Product Requirements","No EGC Requirements")</f>
        <v>2.1 Product Requirements</v>
      </c>
      <c r="G5557" s="13"/>
    </row>
    <row r="5558" spans="2:8" hidden="1" outlineLevel="1">
      <c r="B5558" s="76"/>
      <c r="C5558" t="str">
        <f>$E$5949</f>
        <v>Show</v>
      </c>
      <c r="D5558" s="23"/>
      <c r="E5558" s="12"/>
      <c r="F5558" s="70" t="s">
        <v>119</v>
      </c>
      <c r="G5558" s="12" t="s">
        <v>3490</v>
      </c>
    </row>
    <row r="5559" spans="2:8" hidden="1" outlineLevel="1">
      <c r="B5559" s="76"/>
      <c r="C5559" s="9" t="str">
        <f>C5558</f>
        <v>Show</v>
      </c>
      <c r="D5559" s="23"/>
      <c r="E5559" s="12"/>
      <c r="G5559" s="78" t="s">
        <v>121</v>
      </c>
      <c r="H5559" s="75" t="s">
        <v>2930</v>
      </c>
    </row>
    <row r="5560" spans="2:8" hidden="1" outlineLevel="1">
      <c r="B5560" s="76"/>
      <c r="C5560" s="9" t="str">
        <f>C5547</f>
        <v>Show</v>
      </c>
      <c r="D5560" s="23" t="s">
        <v>187</v>
      </c>
      <c r="E5560" s="13"/>
      <c r="G5560" s="13"/>
    </row>
    <row r="5561" spans="2:8" hidden="1" outlineLevel="1">
      <c r="B5561" s="76"/>
      <c r="C5561" s="9" t="str">
        <f>C5547</f>
        <v>Show</v>
      </c>
      <c r="D5561" s="23"/>
      <c r="E5561" s="12" t="str">
        <f>IF(COUNTIF(C5562:C5565,"Show")&gt;0,"3.1 Execution Requirements","No EGC Requirements")</f>
        <v>3.1 Execution Requirements</v>
      </c>
      <c r="G5561" s="13"/>
    </row>
    <row r="5562" spans="2:8" hidden="1" outlineLevel="1">
      <c r="B5562" s="76"/>
      <c r="C5562" t="str">
        <f>$F$5949</f>
        <v>Show</v>
      </c>
      <c r="D5562" s="23"/>
      <c r="E5562" s="13"/>
      <c r="F5562" s="70" t="s">
        <v>119</v>
      </c>
      <c r="G5562" s="12" t="s">
        <v>3490</v>
      </c>
    </row>
    <row r="5563" spans="2:8" hidden="1" outlineLevel="1">
      <c r="B5563" s="76"/>
      <c r="C5563" s="9" t="str">
        <f>C5562</f>
        <v>Show</v>
      </c>
      <c r="D5563" s="23"/>
      <c r="E5563" s="13"/>
      <c r="G5563" s="78" t="s">
        <v>121</v>
      </c>
      <c r="H5563" s="75" t="s">
        <v>2931</v>
      </c>
    </row>
    <row r="5564" spans="2:8" hidden="1" outlineLevel="1">
      <c r="B5564" s="76"/>
      <c r="C5564" t="str">
        <f>$F$5950</f>
        <v>Show</v>
      </c>
      <c r="D5564" s="23"/>
      <c r="E5564" s="13"/>
      <c r="F5564" s="70" t="str">
        <f>CHAR(65+(COUNTIF(C$5562:C5563,"Show")/2))&amp;"."</f>
        <v>B.</v>
      </c>
      <c r="G5564" s="12" t="s">
        <v>3475</v>
      </c>
    </row>
    <row r="5565" spans="2:8" hidden="1" outlineLevel="1">
      <c r="B5565" s="76"/>
      <c r="C5565" s="9" t="str">
        <f>C5564</f>
        <v>Show</v>
      </c>
      <c r="D5565" s="23"/>
      <c r="E5565" s="13"/>
      <c r="G5565" s="78" t="s">
        <v>121</v>
      </c>
      <c r="H5565" s="75" t="s">
        <v>2884</v>
      </c>
    </row>
    <row r="5566" spans="2:8" hidden="1" outlineLevel="1">
      <c r="B5566" s="76"/>
      <c r="C5566" s="9" t="str">
        <f>C5547</f>
        <v>Show</v>
      </c>
    </row>
    <row r="5567" spans="2:8" collapsed="1">
      <c r="B5567" s="23"/>
      <c r="C5567" s="2" t="str">
        <f>C5568</f>
        <v>Show</v>
      </c>
      <c r="D5567" s="60" t="s">
        <v>346</v>
      </c>
      <c r="E5567" s="60"/>
      <c r="F5567" s="56" t="s">
        <v>1220</v>
      </c>
      <c r="G5567" s="59"/>
      <c r="H5567" s="54"/>
    </row>
    <row r="5568" spans="2:8" hidden="1" outlineLevel="1">
      <c r="B5568" s="12" t="s">
        <v>2697</v>
      </c>
      <c r="C5568" s="2" t="str">
        <f>IF((COUNTIF(C5572:C5586,"Show")+COUNTIF(C5589:C5596,"Show")+COUNTIF(C5599:C5612,"Show"))&gt;0,"Show","Hide")</f>
        <v>Show</v>
      </c>
      <c r="D5568" s="23" t="s">
        <v>117</v>
      </c>
      <c r="E5568" s="13"/>
      <c r="G5568" s="13"/>
    </row>
    <row r="5569" spans="2:8" hidden="1" outlineLevel="1">
      <c r="B5569" s="12" t="s">
        <v>2697</v>
      </c>
      <c r="C5569" s="9" t="str">
        <f>C5568</f>
        <v>Show</v>
      </c>
      <c r="D5569" s="23"/>
      <c r="E5569" s="13">
        <v>1.1000000000000001</v>
      </c>
      <c r="F5569" s="11" t="s">
        <v>118</v>
      </c>
      <c r="G5569" s="13"/>
    </row>
    <row r="5570" spans="2:8" hidden="1" outlineLevel="1">
      <c r="B5570" s="12" t="s">
        <v>2697</v>
      </c>
      <c r="C5570" s="9" t="str">
        <f>C5569</f>
        <v>Show</v>
      </c>
      <c r="D5570" s="23"/>
      <c r="E5570" s="13"/>
      <c r="F5570" s="70" t="s">
        <v>119</v>
      </c>
      <c r="G5570" s="18" t="s">
        <v>677</v>
      </c>
    </row>
    <row r="5571" spans="2:8" hidden="1" outlineLevel="1">
      <c r="B5571" s="12" t="s">
        <v>2697</v>
      </c>
      <c r="C5571" s="9" t="str">
        <f>C5570</f>
        <v>Show</v>
      </c>
      <c r="D5571" s="23"/>
      <c r="E5571" s="13"/>
      <c r="F5571" s="70"/>
      <c r="G5571" s="78" t="s">
        <v>121</v>
      </c>
      <c r="H5571" s="79" t="s">
        <v>2301</v>
      </c>
    </row>
    <row r="5572" spans="2:8" hidden="1" outlineLevel="1">
      <c r="B5572" s="12" t="s">
        <v>2697</v>
      </c>
      <c r="C5572" s="9" t="str">
        <f>IF(COUNTIF(C5573:C5586,"Show")&gt;0,"Show","Hide")</f>
        <v>Show</v>
      </c>
      <c r="D5572" s="23"/>
      <c r="E5572" s="13">
        <v>1.2</v>
      </c>
      <c r="F5572" s="71" t="s">
        <v>131</v>
      </c>
      <c r="G5572" s="78"/>
    </row>
    <row r="5573" spans="2:8" hidden="1" outlineLevel="1">
      <c r="B5573" s="12"/>
      <c r="C5573" t="str">
        <f>$D$5946</f>
        <v>Show</v>
      </c>
      <c r="D5573" s="23"/>
      <c r="E5573" s="13"/>
      <c r="F5573" s="70" t="s">
        <v>119</v>
      </c>
      <c r="G5573" s="12" t="s">
        <v>3491</v>
      </c>
    </row>
    <row r="5574" spans="2:8" hidden="1" outlineLevel="1">
      <c r="B5574" s="12"/>
      <c r="C5574" s="9" t="str">
        <f>C5573</f>
        <v>Show</v>
      </c>
      <c r="D5574" s="23"/>
      <c r="E5574" s="13"/>
      <c r="F5574" s="71"/>
      <c r="G5574" s="78" t="s">
        <v>121</v>
      </c>
      <c r="H5574" s="75" t="s">
        <v>2932</v>
      </c>
    </row>
    <row r="5575" spans="2:8" hidden="1" outlineLevel="1">
      <c r="B5575" s="12"/>
      <c r="C5575" t="str">
        <f>$D$5948</f>
        <v>Show</v>
      </c>
      <c r="D5575" s="23"/>
      <c r="E5575" s="13"/>
      <c r="F5575" s="70" t="str">
        <f>CHAR(65+(COUNTIF(C$5573:C5574,"Show")/2))&amp;"."</f>
        <v>B.</v>
      </c>
      <c r="G5575" s="12" t="s">
        <v>3474</v>
      </c>
    </row>
    <row r="5576" spans="2:8" hidden="1" outlineLevel="1">
      <c r="B5576" s="12"/>
      <c r="C5576" s="9" t="str">
        <f>C5575</f>
        <v>Show</v>
      </c>
      <c r="D5576" s="23"/>
      <c r="E5576" s="13"/>
      <c r="F5576" s="71"/>
      <c r="G5576" s="78" t="s">
        <v>121</v>
      </c>
      <c r="H5576" s="75" t="s">
        <v>2881</v>
      </c>
    </row>
    <row r="5577" spans="2:8" hidden="1" outlineLevel="1">
      <c r="B5577" s="12" t="s">
        <v>2697</v>
      </c>
      <c r="C5577" t="str">
        <f>$D$5951</f>
        <v>Show</v>
      </c>
      <c r="D5577" s="23"/>
      <c r="E5577" s="13"/>
      <c r="F5577" s="70" t="str">
        <f>CHAR(65+(COUNTIF(C$5573:C5576,"Show")/2))&amp;"."</f>
        <v>C.</v>
      </c>
      <c r="G5577" s="12" t="s">
        <v>3488</v>
      </c>
    </row>
    <row r="5578" spans="2:8" hidden="1" outlineLevel="1">
      <c r="B5578" s="12" t="s">
        <v>2697</v>
      </c>
      <c r="C5578" s="9" t="str">
        <f>C5577</f>
        <v>Show</v>
      </c>
      <c r="D5578" s="23"/>
      <c r="E5578" s="13"/>
      <c r="G5578" s="78" t="s">
        <v>121</v>
      </c>
      <c r="H5578" s="75" t="s">
        <v>2926</v>
      </c>
    </row>
    <row r="5579" spans="2:8" hidden="1" outlineLevel="1">
      <c r="B5579" s="12"/>
      <c r="C5579" t="str">
        <f>$D$5952</f>
        <v>Show</v>
      </c>
      <c r="D5579" s="23"/>
      <c r="E5579" s="13"/>
      <c r="F5579" s="70" t="str">
        <f>CHAR(65+(COUNTIF(C$5573:C5578,"Show")/2))&amp;"."</f>
        <v>D.</v>
      </c>
      <c r="G5579" s="12" t="s">
        <v>3452</v>
      </c>
    </row>
    <row r="5580" spans="2:8" hidden="1" outlineLevel="1">
      <c r="B5580" s="12"/>
      <c r="C5580" s="9" t="str">
        <f>C5579</f>
        <v>Show</v>
      </c>
      <c r="D5580" s="23"/>
      <c r="E5580" s="13"/>
      <c r="G5580" s="78" t="s">
        <v>121</v>
      </c>
      <c r="H5580" s="75" t="s">
        <v>2771</v>
      </c>
    </row>
    <row r="5581" spans="2:8" hidden="1" outlineLevel="1">
      <c r="B5581" s="12" t="s">
        <v>2697</v>
      </c>
      <c r="C5581" t="str">
        <f>$D$5955</f>
        <v>Show</v>
      </c>
      <c r="D5581" s="23"/>
      <c r="E5581" s="13"/>
      <c r="F5581" s="70" t="str">
        <f>CHAR(65+(COUNTIF(C$5573:C5580,"Show")/2))&amp;"."</f>
        <v>E.</v>
      </c>
      <c r="G5581" s="12" t="s">
        <v>3435</v>
      </c>
    </row>
    <row r="5582" spans="2:8" hidden="1" outlineLevel="1">
      <c r="B5582" s="12" t="s">
        <v>2697</v>
      </c>
      <c r="C5582" s="9" t="str">
        <f>C5581</f>
        <v>Show</v>
      </c>
      <c r="D5582" s="23"/>
      <c r="E5582" s="13"/>
      <c r="F5582" s="70"/>
      <c r="G5582" s="78" t="s">
        <v>121</v>
      </c>
      <c r="H5582" s="75" t="s">
        <v>2538</v>
      </c>
    </row>
    <row r="5583" spans="2:8" hidden="1" outlineLevel="1">
      <c r="B5583" s="12"/>
      <c r="C5583" t="str">
        <f>$D$5992</f>
        <v>Show</v>
      </c>
      <c r="D5583" s="23"/>
      <c r="E5583" s="13"/>
      <c r="F5583" s="70" t="str">
        <f>CHAR(65+(COUNTIF(C$5573:C5582,"Show")/2))&amp;"."</f>
        <v>F.</v>
      </c>
      <c r="G5583" s="12" t="s">
        <v>3447</v>
      </c>
    </row>
    <row r="5584" spans="2:8" ht="30" hidden="1" outlineLevel="1">
      <c r="B5584" s="12"/>
      <c r="C5584" s="9" t="str">
        <f>C5583</f>
        <v>Show</v>
      </c>
      <c r="D5584" s="23"/>
      <c r="E5584" s="13"/>
      <c r="F5584" s="70"/>
      <c r="G5584" s="78" t="s">
        <v>121</v>
      </c>
      <c r="H5584" s="75" t="s">
        <v>2923</v>
      </c>
    </row>
    <row r="5585" spans="2:8" hidden="1" outlineLevel="1">
      <c r="B5585" s="12"/>
      <c r="C5585" t="str">
        <f>$D$5994</f>
        <v>Show</v>
      </c>
      <c r="D5585" s="23"/>
      <c r="E5585" s="13"/>
      <c r="F5585" s="70" t="str">
        <f>CHAR(65+(COUNTIF(C$5573:C5584,"Show")/2))&amp;"."</f>
        <v>G.</v>
      </c>
      <c r="G5585" s="12" t="s">
        <v>3459</v>
      </c>
    </row>
    <row r="5586" spans="2:8" hidden="1" outlineLevel="1">
      <c r="B5586" s="12"/>
      <c r="C5586" s="9" t="str">
        <f>C5585</f>
        <v>Show</v>
      </c>
      <c r="D5586" s="23"/>
      <c r="E5586" s="13"/>
      <c r="F5586" s="70"/>
      <c r="G5586" s="78" t="s">
        <v>121</v>
      </c>
      <c r="H5586" s="75" t="s">
        <v>2810</v>
      </c>
    </row>
    <row r="5587" spans="2:8" hidden="1" outlineLevel="1">
      <c r="B5587" s="12" t="s">
        <v>2697</v>
      </c>
      <c r="C5587" s="9" t="str">
        <f>C5568</f>
        <v>Show</v>
      </c>
      <c r="D5587" s="23" t="s">
        <v>613</v>
      </c>
      <c r="E5587" s="13"/>
      <c r="G5587" s="13"/>
    </row>
    <row r="5588" spans="2:8" hidden="1" outlineLevel="1">
      <c r="B5588" s="12" t="s">
        <v>2697</v>
      </c>
      <c r="C5588" s="9" t="str">
        <f>C5568</f>
        <v>Show</v>
      </c>
      <c r="D5588" s="23"/>
      <c r="E5588" s="12" t="str">
        <f>IF(COUNTIF(C5589:C5596,"Show")&gt;0,"2.1 Product Requirements","No EGC Requirements")</f>
        <v>2.1 Product Requirements</v>
      </c>
      <c r="G5588" s="13"/>
    </row>
    <row r="5589" spans="2:8" hidden="1" outlineLevel="1">
      <c r="B5589" s="12"/>
      <c r="C5589" t="str">
        <f>$E$5946</f>
        <v>Show</v>
      </c>
      <c r="D5589" s="23"/>
      <c r="E5589" s="12"/>
      <c r="F5589" s="70" t="s">
        <v>119</v>
      </c>
      <c r="G5589" s="12" t="s">
        <v>3491</v>
      </c>
    </row>
    <row r="5590" spans="2:8" hidden="1" outlineLevel="1">
      <c r="B5590" s="12"/>
      <c r="C5590" s="9" t="str">
        <f>C5589</f>
        <v>Show</v>
      </c>
      <c r="D5590" s="23"/>
      <c r="E5590" s="12"/>
      <c r="G5590" s="30" t="s">
        <v>121</v>
      </c>
      <c r="H5590" s="75" t="s">
        <v>2933</v>
      </c>
    </row>
    <row r="5591" spans="2:8" hidden="1" outlineLevel="1">
      <c r="B5591" s="12"/>
      <c r="C5591" t="str">
        <f>$E$5952</f>
        <v>Show</v>
      </c>
      <c r="D5591" s="23"/>
      <c r="E5591" s="12"/>
      <c r="F5591" s="70" t="str">
        <f>CHAR(65+(COUNTIF(C$5589:C5590,"Show")/2))&amp;"."</f>
        <v>B.</v>
      </c>
      <c r="G5591" s="12" t="s">
        <v>3452</v>
      </c>
    </row>
    <row r="5592" spans="2:8" hidden="1" outlineLevel="1">
      <c r="B5592" s="12"/>
      <c r="C5592" s="9" t="str">
        <f>C5591</f>
        <v>Show</v>
      </c>
      <c r="D5592" s="23"/>
      <c r="E5592" s="12"/>
      <c r="G5592" s="30" t="s">
        <v>121</v>
      </c>
      <c r="H5592" s="75" t="s">
        <v>2772</v>
      </c>
    </row>
    <row r="5593" spans="2:8" hidden="1" outlineLevel="1">
      <c r="B5593" s="12" t="s">
        <v>2697</v>
      </c>
      <c r="C5593" t="str">
        <f>$E$5955</f>
        <v>Show</v>
      </c>
      <c r="D5593" s="23"/>
      <c r="E5593" s="12"/>
      <c r="F5593" s="70" t="str">
        <f>CHAR(65+(COUNTIF(C$5589:C5592,"Show")/2))&amp;"."</f>
        <v>C.</v>
      </c>
      <c r="G5593" s="12" t="s">
        <v>3435</v>
      </c>
    </row>
    <row r="5594" spans="2:8" hidden="1" outlineLevel="1">
      <c r="B5594" s="12" t="s">
        <v>2697</v>
      </c>
      <c r="C5594" s="9" t="str">
        <f>C5593</f>
        <v>Show</v>
      </c>
      <c r="D5594" s="23"/>
      <c r="E5594" s="12"/>
      <c r="F5594" s="70"/>
      <c r="G5594" s="30" t="s">
        <v>121</v>
      </c>
      <c r="H5594" s="75" t="s">
        <v>2539</v>
      </c>
    </row>
    <row r="5595" spans="2:8" hidden="1" outlineLevel="1">
      <c r="B5595" s="12"/>
      <c r="C5595" t="str">
        <f>$E$5994</f>
        <v>Show</v>
      </c>
      <c r="D5595" s="23"/>
      <c r="E5595" s="12"/>
      <c r="F5595" s="70" t="str">
        <f>CHAR(65+(COUNTIF(C$5589:C5594,"Show")/2))&amp;"."</f>
        <v>D.</v>
      </c>
      <c r="G5595" s="12" t="s">
        <v>3459</v>
      </c>
    </row>
    <row r="5596" spans="2:8" hidden="1" outlineLevel="1">
      <c r="B5596" s="12"/>
      <c r="C5596" s="9" t="str">
        <f>C5595</f>
        <v>Show</v>
      </c>
      <c r="D5596" s="23"/>
      <c r="E5596" s="12"/>
      <c r="F5596" s="70"/>
      <c r="G5596" s="30" t="s">
        <v>121</v>
      </c>
      <c r="H5596" s="75" t="s">
        <v>2809</v>
      </c>
    </row>
    <row r="5597" spans="2:8" hidden="1" outlineLevel="1">
      <c r="B5597" s="12" t="s">
        <v>2697</v>
      </c>
      <c r="C5597" s="9" t="str">
        <f>C5568</f>
        <v>Show</v>
      </c>
      <c r="D5597" s="23" t="s">
        <v>187</v>
      </c>
      <c r="E5597" s="13"/>
      <c r="G5597" s="13"/>
    </row>
    <row r="5598" spans="2:8" hidden="1" outlineLevel="1">
      <c r="B5598" s="12" t="s">
        <v>2697</v>
      </c>
      <c r="C5598" s="9" t="str">
        <f>C5568</f>
        <v>Show</v>
      </c>
      <c r="D5598" s="23"/>
      <c r="E5598" s="12" t="str">
        <f>IF(COUNTIF(C5599:C5612,"Show")&gt;0,"3.1 Execution Requirements","No EGC Requirements")</f>
        <v>3.1 Execution Requirements</v>
      </c>
      <c r="G5598" s="13"/>
    </row>
    <row r="5599" spans="2:8" hidden="1" outlineLevel="1">
      <c r="B5599" s="12"/>
      <c r="C5599" t="str">
        <f>$F$5946</f>
        <v>Show</v>
      </c>
      <c r="D5599" s="23"/>
      <c r="E5599" s="12"/>
      <c r="F5599" s="70" t="s">
        <v>119</v>
      </c>
      <c r="G5599" s="12" t="s">
        <v>3491</v>
      </c>
    </row>
    <row r="5600" spans="2:8" hidden="1" outlineLevel="1">
      <c r="B5600" s="12"/>
      <c r="C5600" s="9" t="str">
        <f>C5599</f>
        <v>Show</v>
      </c>
      <c r="D5600" s="23"/>
      <c r="E5600" s="12"/>
      <c r="G5600" s="78" t="s">
        <v>121</v>
      </c>
      <c r="H5600" s="75" t="s">
        <v>2935</v>
      </c>
    </row>
    <row r="5601" spans="2:8" hidden="1" outlineLevel="1">
      <c r="B5601" s="12"/>
      <c r="C5601" t="str">
        <f>$F$5948</f>
        <v>Show</v>
      </c>
      <c r="D5601" s="23"/>
      <c r="E5601" s="12"/>
      <c r="F5601" s="70" t="str">
        <f>CHAR(65+(COUNTIF(C$5599:C5600,"Show")/2))&amp;"."</f>
        <v>B.</v>
      </c>
      <c r="G5601" s="12" t="s">
        <v>3474</v>
      </c>
    </row>
    <row r="5602" spans="2:8" hidden="1" outlineLevel="1">
      <c r="B5602" s="12"/>
      <c r="C5602" s="9" t="str">
        <f>C5601</f>
        <v>Show</v>
      </c>
      <c r="D5602" s="23"/>
      <c r="E5602" s="12"/>
      <c r="G5602" s="78" t="s">
        <v>121</v>
      </c>
      <c r="H5602" s="75" t="s">
        <v>2883</v>
      </c>
    </row>
    <row r="5603" spans="2:8" hidden="1" outlineLevel="1">
      <c r="B5603" s="12"/>
      <c r="C5603" t="str">
        <f>$F$5951</f>
        <v>Show</v>
      </c>
      <c r="D5603" s="23"/>
      <c r="E5603" s="12"/>
      <c r="F5603" s="70" t="str">
        <f>CHAR(65+(COUNTIF(C$5599:C5602,"Show")/2))&amp;"."</f>
        <v>C.</v>
      </c>
      <c r="G5603" s="12" t="s">
        <v>3488</v>
      </c>
    </row>
    <row r="5604" spans="2:8" hidden="1" outlineLevel="1">
      <c r="B5604" s="12"/>
      <c r="C5604" t="str">
        <f>C5603</f>
        <v>Show</v>
      </c>
      <c r="D5604" s="23"/>
      <c r="E5604" s="12"/>
      <c r="G5604" s="78" t="s">
        <v>121</v>
      </c>
      <c r="H5604" s="75" t="s">
        <v>2925</v>
      </c>
    </row>
    <row r="5605" spans="2:8" hidden="1" outlineLevel="1">
      <c r="B5605" s="12"/>
      <c r="C5605" t="str">
        <f>$F$5952</f>
        <v>Show</v>
      </c>
      <c r="D5605" s="23"/>
      <c r="E5605" s="12"/>
      <c r="F5605" s="70" t="str">
        <f>CHAR(65+(COUNTIF(C$5599:C5604,"Show")/2))&amp;"."</f>
        <v>D.</v>
      </c>
      <c r="G5605" s="12" t="s">
        <v>3452</v>
      </c>
    </row>
    <row r="5606" spans="2:8" hidden="1" outlineLevel="1">
      <c r="B5606" s="12"/>
      <c r="C5606" s="9" t="str">
        <f>C5605</f>
        <v>Show</v>
      </c>
      <c r="D5606" s="23"/>
      <c r="E5606" s="12"/>
      <c r="G5606" s="78" t="s">
        <v>121</v>
      </c>
      <c r="H5606" s="75" t="s">
        <v>2773</v>
      </c>
    </row>
    <row r="5607" spans="2:8" hidden="1" outlineLevel="1">
      <c r="B5607" s="12" t="s">
        <v>2697</v>
      </c>
      <c r="C5607" t="str">
        <f>$F$5955</f>
        <v>Show</v>
      </c>
      <c r="D5607" s="23"/>
      <c r="E5607" s="12"/>
      <c r="F5607" s="70" t="str">
        <f>CHAR(65+(COUNTIF(C$5599:C5606,"Show")/2))&amp;"."</f>
        <v>E.</v>
      </c>
      <c r="G5607" s="12" t="s">
        <v>3435</v>
      </c>
    </row>
    <row r="5608" spans="2:8" ht="30" hidden="1" outlineLevel="1">
      <c r="B5608" s="12" t="s">
        <v>2697</v>
      </c>
      <c r="C5608" s="9" t="str">
        <f>C5607</f>
        <v>Show</v>
      </c>
      <c r="D5608" s="23"/>
      <c r="E5608" s="12"/>
      <c r="F5608" s="70"/>
      <c r="G5608" s="78" t="s">
        <v>121</v>
      </c>
      <c r="H5608" s="75" t="s">
        <v>2540</v>
      </c>
    </row>
    <row r="5609" spans="2:8" hidden="1" outlineLevel="1">
      <c r="B5609" s="12"/>
      <c r="C5609" t="str">
        <f>$F$5992</f>
        <v>Show</v>
      </c>
      <c r="D5609" s="23"/>
      <c r="E5609" s="12"/>
      <c r="F5609" s="70" t="str">
        <f>CHAR(65+(COUNTIF(C$5599:C5608,"Show")/2))&amp;"."</f>
        <v>F.</v>
      </c>
      <c r="G5609" s="12" t="s">
        <v>3447</v>
      </c>
    </row>
    <row r="5610" spans="2:8" ht="30" hidden="1" outlineLevel="1">
      <c r="B5610" s="12"/>
      <c r="C5610" s="9" t="str">
        <f>C5609</f>
        <v>Show</v>
      </c>
      <c r="D5610" s="23"/>
      <c r="E5610" s="12"/>
      <c r="F5610" s="70"/>
      <c r="G5610" s="78" t="s">
        <v>121</v>
      </c>
      <c r="H5610" s="75" t="s">
        <v>2924</v>
      </c>
    </row>
    <row r="5611" spans="2:8" hidden="1" outlineLevel="1">
      <c r="B5611" s="12"/>
      <c r="C5611" t="str">
        <f>$F$5994</f>
        <v>Show</v>
      </c>
      <c r="D5611" s="23"/>
      <c r="E5611" s="12"/>
      <c r="F5611" s="70" t="str">
        <f>CHAR(65+(COUNTIF(C$5599:C5610,"Show")/2))&amp;"."</f>
        <v>G.</v>
      </c>
      <c r="G5611" s="12" t="s">
        <v>3459</v>
      </c>
    </row>
    <row r="5612" spans="2:8" ht="30" hidden="1" outlineLevel="1">
      <c r="B5612" s="12"/>
      <c r="C5612" s="9" t="str">
        <f>C5611</f>
        <v>Show</v>
      </c>
      <c r="D5612" s="23"/>
      <c r="E5612" s="12"/>
      <c r="F5612" s="70"/>
      <c r="G5612" s="78" t="s">
        <v>121</v>
      </c>
      <c r="H5612" s="75" t="s">
        <v>2815</v>
      </c>
    </row>
    <row r="5613" spans="2:8" hidden="1" outlineLevel="1">
      <c r="B5613" s="12" t="s">
        <v>2697</v>
      </c>
      <c r="C5613" s="9" t="str">
        <f>C5568</f>
        <v>Show</v>
      </c>
    </row>
    <row r="5614" spans="2:8" collapsed="1">
      <c r="B5614" s="23"/>
      <c r="C5614" s="2" t="str">
        <f>C5615</f>
        <v>Show</v>
      </c>
      <c r="D5614" s="60" t="s">
        <v>344</v>
      </c>
      <c r="E5614" s="60"/>
      <c r="F5614" s="56" t="s">
        <v>345</v>
      </c>
      <c r="G5614" s="59"/>
      <c r="H5614" s="54"/>
    </row>
    <row r="5615" spans="2:8" hidden="1" outlineLevel="1">
      <c r="B5615" s="76"/>
      <c r="C5615" s="2" t="str">
        <f>IF((COUNTIF(C5619:C5621,"Show")+COUNTIF(C5626:C5627,"Show"))&gt;0,"Show","Hide")</f>
        <v>Show</v>
      </c>
      <c r="D5615" s="23" t="s">
        <v>117</v>
      </c>
      <c r="E5615" s="13"/>
      <c r="G5615" s="13"/>
    </row>
    <row r="5616" spans="2:8" hidden="1" outlineLevel="1">
      <c r="B5616" s="76"/>
      <c r="C5616" s="9" t="str">
        <f>C5615</f>
        <v>Show</v>
      </c>
      <c r="D5616" s="23"/>
      <c r="E5616" s="13">
        <v>1.1000000000000001</v>
      </c>
      <c r="F5616" s="11" t="s">
        <v>118</v>
      </c>
      <c r="G5616" s="13"/>
    </row>
    <row r="5617" spans="2:8" hidden="1" outlineLevel="1">
      <c r="B5617" s="76"/>
      <c r="C5617" s="9" t="str">
        <f>C5616</f>
        <v>Show</v>
      </c>
      <c r="D5617" s="23"/>
      <c r="E5617" s="13"/>
      <c r="F5617" s="70" t="s">
        <v>119</v>
      </c>
      <c r="G5617" s="18" t="s">
        <v>677</v>
      </c>
    </row>
    <row r="5618" spans="2:8" hidden="1" outlineLevel="1">
      <c r="B5618" s="76"/>
      <c r="C5618" s="9" t="str">
        <f>C5617</f>
        <v>Show</v>
      </c>
      <c r="D5618" s="23"/>
      <c r="E5618" s="13"/>
      <c r="F5618" s="70"/>
      <c r="G5618" s="78" t="s">
        <v>121</v>
      </c>
      <c r="H5618" s="79" t="s">
        <v>2301</v>
      </c>
    </row>
    <row r="5619" spans="2:8" hidden="1" outlineLevel="1">
      <c r="B5619" s="76"/>
      <c r="C5619" s="9" t="str">
        <f>IF(COUNTIF(C5620:C5621,"Show")&gt;0,"Show","Hide")</f>
        <v>Show</v>
      </c>
      <c r="D5619" s="23"/>
      <c r="E5619" s="13">
        <v>1.2</v>
      </c>
      <c r="F5619" s="71" t="s">
        <v>131</v>
      </c>
      <c r="G5619" s="78"/>
    </row>
    <row r="5620" spans="2:8" hidden="1" outlineLevel="1">
      <c r="B5620" s="76"/>
      <c r="C5620" t="str">
        <f>$D$5945</f>
        <v>Show</v>
      </c>
      <c r="D5620" s="23"/>
      <c r="E5620" s="13"/>
      <c r="F5620" s="70" t="s">
        <v>119</v>
      </c>
      <c r="G5620" s="12" t="s">
        <v>3486</v>
      </c>
    </row>
    <row r="5621" spans="2:8" hidden="1" outlineLevel="1">
      <c r="B5621" s="76"/>
      <c r="C5621" s="9" t="str">
        <f>C5620</f>
        <v>Show</v>
      </c>
      <c r="D5621" s="23"/>
      <c r="E5621" s="13"/>
      <c r="F5621" s="70"/>
      <c r="G5621" s="78" t="s">
        <v>121</v>
      </c>
      <c r="H5621" s="75" t="s">
        <v>2270</v>
      </c>
    </row>
    <row r="5622" spans="2:8" hidden="1" outlineLevel="1">
      <c r="B5622" s="76"/>
      <c r="C5622" s="9" t="str">
        <f>C5615</f>
        <v>Show</v>
      </c>
      <c r="D5622" s="23" t="s">
        <v>613</v>
      </c>
      <c r="E5622" s="13"/>
      <c r="G5622" s="13"/>
    </row>
    <row r="5623" spans="2:8" hidden="1" outlineLevel="1">
      <c r="B5623" s="76"/>
      <c r="C5623" s="9" t="str">
        <f>C5615</f>
        <v>Show</v>
      </c>
      <c r="D5623" s="23"/>
      <c r="E5623" s="12" t="s">
        <v>2703</v>
      </c>
      <c r="G5623" s="13"/>
    </row>
    <row r="5624" spans="2:8" hidden="1" outlineLevel="1">
      <c r="B5624" s="76"/>
      <c r="C5624" s="9" t="str">
        <f>C5615</f>
        <v>Show</v>
      </c>
      <c r="D5624" s="23" t="s">
        <v>187</v>
      </c>
      <c r="E5624" s="13"/>
      <c r="G5624" s="13"/>
    </row>
    <row r="5625" spans="2:8" hidden="1" outlineLevel="1">
      <c r="B5625" s="76"/>
      <c r="C5625" s="9" t="str">
        <f>C5615</f>
        <v>Show</v>
      </c>
      <c r="D5625" s="23"/>
      <c r="E5625" s="12" t="str">
        <f>IF(COUNTIF(C5626:C5627,"Show")&gt;0,"3.1 Execution Requirements","No EGC Requirements")</f>
        <v>3.1 Execution Requirements</v>
      </c>
      <c r="G5625" s="13"/>
    </row>
    <row r="5626" spans="2:8" hidden="1" outlineLevel="1">
      <c r="B5626" s="76"/>
      <c r="C5626" t="str">
        <f>$F$5945</f>
        <v>Show</v>
      </c>
      <c r="D5626" s="23"/>
      <c r="E5626" s="13"/>
      <c r="F5626" s="70" t="s">
        <v>119</v>
      </c>
      <c r="G5626" s="12" t="s">
        <v>3486</v>
      </c>
    </row>
    <row r="5627" spans="2:8" hidden="1" outlineLevel="1">
      <c r="B5627" s="76"/>
      <c r="C5627" s="9" t="str">
        <f>C5626</f>
        <v>Show</v>
      </c>
      <c r="D5627" s="23"/>
      <c r="E5627" s="13"/>
      <c r="G5627" s="78" t="s">
        <v>121</v>
      </c>
      <c r="H5627" s="75" t="s">
        <v>683</v>
      </c>
    </row>
    <row r="5628" spans="2:8" hidden="1" outlineLevel="1">
      <c r="B5628" s="76"/>
      <c r="C5628" s="9" t="str">
        <f>C5615</f>
        <v>Show</v>
      </c>
    </row>
    <row r="5629" spans="2:8" collapsed="1">
      <c r="B5629" s="23"/>
      <c r="C5629" s="2" t="str">
        <f>C5630</f>
        <v>Show</v>
      </c>
      <c r="D5629" s="60" t="s">
        <v>347</v>
      </c>
      <c r="E5629" s="60"/>
      <c r="F5629" s="56" t="s">
        <v>348</v>
      </c>
      <c r="G5629" s="59"/>
      <c r="H5629" s="54"/>
    </row>
    <row r="5630" spans="2:8" hidden="1" outlineLevel="1">
      <c r="B5630" s="12" t="s">
        <v>2697</v>
      </c>
      <c r="C5630" s="2" t="str">
        <f>IF((COUNTIF(C5634:C5640,"Show")+COUNTIF(C5643:C5646,"Show")+COUNTIF(C5649:C5654,"Show"))&gt;0,"Show","Hide")</f>
        <v>Show</v>
      </c>
      <c r="D5630" s="23" t="s">
        <v>117</v>
      </c>
      <c r="E5630" s="13"/>
      <c r="G5630" s="13"/>
    </row>
    <row r="5631" spans="2:8" hidden="1" outlineLevel="1">
      <c r="B5631" s="12" t="s">
        <v>2697</v>
      </c>
      <c r="C5631" s="9" t="str">
        <f>C5630</f>
        <v>Show</v>
      </c>
      <c r="D5631" s="23"/>
      <c r="E5631" s="13">
        <v>1.1000000000000001</v>
      </c>
      <c r="F5631" s="11" t="s">
        <v>118</v>
      </c>
      <c r="G5631" s="13"/>
    </row>
    <row r="5632" spans="2:8" hidden="1" outlineLevel="1">
      <c r="B5632" s="12" t="s">
        <v>2697</v>
      </c>
      <c r="C5632" s="9" t="str">
        <f>C5631</f>
        <v>Show</v>
      </c>
      <c r="D5632" s="23"/>
      <c r="E5632" s="13"/>
      <c r="F5632" s="70" t="s">
        <v>119</v>
      </c>
      <c r="G5632" s="18" t="s">
        <v>677</v>
      </c>
    </row>
    <row r="5633" spans="2:8" hidden="1" outlineLevel="1">
      <c r="B5633" s="12" t="s">
        <v>2697</v>
      </c>
      <c r="C5633" s="9" t="str">
        <f>C5632</f>
        <v>Show</v>
      </c>
      <c r="D5633" s="23"/>
      <c r="E5633" s="13"/>
      <c r="F5633" s="70"/>
      <c r="G5633" s="78" t="s">
        <v>121</v>
      </c>
      <c r="H5633" s="79" t="s">
        <v>2301</v>
      </c>
    </row>
    <row r="5634" spans="2:8" hidden="1" outlineLevel="1">
      <c r="B5634" s="12" t="s">
        <v>2697</v>
      </c>
      <c r="C5634" s="9" t="str">
        <f>IF(COUNTIF(C5635:C5640,"Show")&gt;0,"Show","Hide")</f>
        <v>Show</v>
      </c>
      <c r="D5634" s="23"/>
      <c r="E5634" s="13">
        <v>1.2</v>
      </c>
      <c r="F5634" s="71" t="s">
        <v>131</v>
      </c>
      <c r="G5634" s="78"/>
    </row>
    <row r="5635" spans="2:8" hidden="1" outlineLevel="1">
      <c r="B5635" s="12"/>
      <c r="C5635" t="str">
        <f>$D$5946</f>
        <v>Show</v>
      </c>
      <c r="D5635" s="23"/>
      <c r="E5635" s="13"/>
      <c r="F5635" s="70" t="s">
        <v>119</v>
      </c>
      <c r="G5635" s="12" t="s">
        <v>3491</v>
      </c>
    </row>
    <row r="5636" spans="2:8" hidden="1" outlineLevel="1">
      <c r="B5636" s="12"/>
      <c r="C5636" s="9" t="str">
        <f>C5635</f>
        <v>Show</v>
      </c>
      <c r="D5636" s="23"/>
      <c r="E5636" s="13"/>
      <c r="F5636" s="71"/>
      <c r="G5636" s="78" t="s">
        <v>121</v>
      </c>
      <c r="H5636" s="75" t="s">
        <v>2932</v>
      </c>
    </row>
    <row r="5637" spans="2:8" hidden="1" outlineLevel="1">
      <c r="B5637" s="12"/>
      <c r="C5637" t="str">
        <f>$D$5948</f>
        <v>Show</v>
      </c>
      <c r="D5637" s="23"/>
      <c r="E5637" s="13"/>
      <c r="F5637" s="70" t="str">
        <f>CHAR(65+(COUNTIF(C$5635:C5636,"Show")/2))&amp;"."</f>
        <v>B.</v>
      </c>
      <c r="G5637" s="12" t="s">
        <v>3474</v>
      </c>
    </row>
    <row r="5638" spans="2:8" hidden="1" outlineLevel="1">
      <c r="B5638" s="12"/>
      <c r="C5638" s="9" t="str">
        <f>C5637</f>
        <v>Show</v>
      </c>
      <c r="D5638" s="23"/>
      <c r="E5638" s="13"/>
      <c r="F5638" s="71"/>
      <c r="G5638" s="78" t="s">
        <v>121</v>
      </c>
      <c r="H5638" s="75" t="s">
        <v>2881</v>
      </c>
    </row>
    <row r="5639" spans="2:8" hidden="1" outlineLevel="1">
      <c r="B5639" s="12" t="s">
        <v>2697</v>
      </c>
      <c r="C5639" t="str">
        <f>$D$5955</f>
        <v>Show</v>
      </c>
      <c r="D5639" s="23"/>
      <c r="E5639" s="13"/>
      <c r="F5639" s="70" t="str">
        <f>CHAR(65+(COUNTIF(C$5635:C5638,"Show")/2))&amp;"."</f>
        <v>C.</v>
      </c>
      <c r="G5639" s="12" t="s">
        <v>3435</v>
      </c>
    </row>
    <row r="5640" spans="2:8" hidden="1" outlineLevel="1">
      <c r="B5640" s="12" t="s">
        <v>2697</v>
      </c>
      <c r="C5640" s="9" t="str">
        <f>C5639</f>
        <v>Show</v>
      </c>
      <c r="D5640" s="23"/>
      <c r="E5640" s="13"/>
      <c r="F5640" s="70"/>
      <c r="G5640" s="78" t="s">
        <v>121</v>
      </c>
      <c r="H5640" s="75" t="s">
        <v>2538</v>
      </c>
    </row>
    <row r="5641" spans="2:8" hidden="1" outlineLevel="1">
      <c r="B5641" s="12" t="s">
        <v>2697</v>
      </c>
      <c r="C5641" s="9" t="str">
        <f>C5630</f>
        <v>Show</v>
      </c>
      <c r="D5641" s="23" t="s">
        <v>613</v>
      </c>
      <c r="E5641" s="13"/>
      <c r="G5641" s="13"/>
    </row>
    <row r="5642" spans="2:8" hidden="1" outlineLevel="1">
      <c r="B5642" s="12" t="s">
        <v>2697</v>
      </c>
      <c r="C5642" s="9" t="str">
        <f>C5630</f>
        <v>Show</v>
      </c>
      <c r="D5642" s="23"/>
      <c r="E5642" s="12" t="str">
        <f>IF(COUNTIF(C5645:C5646,"Show")&gt;0,"2.1 Product Requirements","No EGC Requirements")</f>
        <v>2.1 Product Requirements</v>
      </c>
      <c r="G5642" s="13"/>
    </row>
    <row r="5643" spans="2:8" hidden="1" outlineLevel="1">
      <c r="B5643" s="12"/>
      <c r="C5643" t="str">
        <f>$E$5946</f>
        <v>Show</v>
      </c>
      <c r="D5643" s="23"/>
      <c r="E5643" s="12"/>
      <c r="F5643" s="70" t="s">
        <v>119</v>
      </c>
      <c r="G5643" s="12" t="s">
        <v>3491</v>
      </c>
    </row>
    <row r="5644" spans="2:8" hidden="1" outlineLevel="1">
      <c r="B5644" s="12"/>
      <c r="C5644" s="9" t="str">
        <f>C5643</f>
        <v>Show</v>
      </c>
      <c r="D5644" s="23"/>
      <c r="E5644" s="12"/>
      <c r="G5644" s="30" t="s">
        <v>121</v>
      </c>
      <c r="H5644" s="75" t="s">
        <v>2933</v>
      </c>
    </row>
    <row r="5645" spans="2:8" hidden="1" outlineLevel="1">
      <c r="B5645" s="12" t="s">
        <v>2697</v>
      </c>
      <c r="C5645" t="str">
        <f>$E$5955</f>
        <v>Show</v>
      </c>
      <c r="D5645" s="23"/>
      <c r="E5645" s="12"/>
      <c r="F5645" s="70" t="str">
        <f>CHAR(65+(COUNTIF(C$5643:C5644,"Show")/2))&amp;"."</f>
        <v>B.</v>
      </c>
      <c r="G5645" s="12" t="s">
        <v>3435</v>
      </c>
    </row>
    <row r="5646" spans="2:8" hidden="1" outlineLevel="1">
      <c r="B5646" s="12" t="s">
        <v>2697</v>
      </c>
      <c r="C5646" s="9" t="str">
        <f>C5645</f>
        <v>Show</v>
      </c>
      <c r="D5646" s="23"/>
      <c r="E5646" s="12"/>
      <c r="F5646" s="70"/>
      <c r="G5646" s="30" t="s">
        <v>121</v>
      </c>
      <c r="H5646" s="75" t="s">
        <v>2539</v>
      </c>
    </row>
    <row r="5647" spans="2:8" hidden="1" outlineLevel="1">
      <c r="B5647" s="12" t="s">
        <v>2697</v>
      </c>
      <c r="C5647" s="9" t="str">
        <f>C5630</f>
        <v>Show</v>
      </c>
      <c r="D5647" s="23" t="s">
        <v>187</v>
      </c>
      <c r="E5647" s="13"/>
      <c r="G5647" s="13"/>
    </row>
    <row r="5648" spans="2:8" hidden="1" outlineLevel="1">
      <c r="B5648" s="12" t="s">
        <v>2697</v>
      </c>
      <c r="C5648" s="9" t="str">
        <f>C5630</f>
        <v>Show</v>
      </c>
      <c r="D5648" s="23"/>
      <c r="E5648" s="12" t="str">
        <f>IF(COUNTIF(C5653:C5654,"Show")&gt;0,"3.1 Execution Requirements","No EGC Requirements")</f>
        <v>3.1 Execution Requirements</v>
      </c>
      <c r="G5648" s="13"/>
    </row>
    <row r="5649" spans="2:8" hidden="1" outlineLevel="1">
      <c r="B5649" s="12"/>
      <c r="C5649" t="str">
        <f>$F$5946</f>
        <v>Show</v>
      </c>
      <c r="D5649" s="23"/>
      <c r="E5649" s="12"/>
      <c r="F5649" s="70" t="s">
        <v>119</v>
      </c>
      <c r="G5649" s="12" t="s">
        <v>3491</v>
      </c>
    </row>
    <row r="5650" spans="2:8" hidden="1" outlineLevel="1">
      <c r="B5650" s="12"/>
      <c r="C5650" s="9" t="str">
        <f>C5649</f>
        <v>Show</v>
      </c>
      <c r="D5650" s="23"/>
      <c r="E5650" s="12"/>
      <c r="G5650" s="78" t="s">
        <v>121</v>
      </c>
      <c r="H5650" s="75" t="s">
        <v>2935</v>
      </c>
    </row>
    <row r="5651" spans="2:8" hidden="1" outlineLevel="1">
      <c r="B5651" s="12"/>
      <c r="C5651" t="str">
        <f>$F$5948</f>
        <v>Show</v>
      </c>
      <c r="D5651" s="23"/>
      <c r="E5651" s="12"/>
      <c r="F5651" s="70" t="str">
        <f>CHAR(65+(COUNTIF(C$5649:C5650,"Show")/2))&amp;"."</f>
        <v>B.</v>
      </c>
      <c r="G5651" s="12" t="s">
        <v>3474</v>
      </c>
    </row>
    <row r="5652" spans="2:8" hidden="1" outlineLevel="1">
      <c r="B5652" s="12"/>
      <c r="C5652" s="9" t="str">
        <f>C5651</f>
        <v>Show</v>
      </c>
      <c r="D5652" s="23"/>
      <c r="E5652" s="12"/>
      <c r="G5652" s="78" t="s">
        <v>121</v>
      </c>
      <c r="H5652" s="75" t="s">
        <v>2883</v>
      </c>
    </row>
    <row r="5653" spans="2:8" hidden="1" outlineLevel="1">
      <c r="B5653" s="12" t="s">
        <v>2697</v>
      </c>
      <c r="C5653" t="str">
        <f>$F$5955</f>
        <v>Show</v>
      </c>
      <c r="D5653" s="23"/>
      <c r="E5653" s="12"/>
      <c r="F5653" s="70" t="str">
        <f>CHAR(65+(COUNTIF(C$5649:C5652,"Show")/2))&amp;"."</f>
        <v>C.</v>
      </c>
      <c r="G5653" s="12" t="s">
        <v>3435</v>
      </c>
    </row>
    <row r="5654" spans="2:8" ht="30" hidden="1" outlineLevel="1">
      <c r="B5654" s="12" t="s">
        <v>2697</v>
      </c>
      <c r="C5654" s="9" t="str">
        <f>C5653</f>
        <v>Show</v>
      </c>
      <c r="D5654" s="23"/>
      <c r="E5654" s="12"/>
      <c r="F5654" s="70"/>
      <c r="G5654" s="78" t="s">
        <v>121</v>
      </c>
      <c r="H5654" s="75" t="s">
        <v>2540</v>
      </c>
    </row>
    <row r="5655" spans="2:8" hidden="1" outlineLevel="1">
      <c r="B5655" s="12" t="s">
        <v>2697</v>
      </c>
      <c r="C5655" s="9" t="str">
        <f>C5630</f>
        <v>Show</v>
      </c>
    </row>
    <row r="5656" spans="2:8" collapsed="1">
      <c r="B5656" s="23"/>
      <c r="C5656" s="2" t="str">
        <f>C5657</f>
        <v>Show</v>
      </c>
      <c r="D5656" s="60" t="s">
        <v>349</v>
      </c>
      <c r="E5656" s="60"/>
      <c r="F5656" s="56" t="s">
        <v>1222</v>
      </c>
      <c r="G5656" s="59"/>
      <c r="H5656" s="54"/>
    </row>
    <row r="5657" spans="2:8" hidden="1" outlineLevel="1">
      <c r="B5657" s="12" t="s">
        <v>2697</v>
      </c>
      <c r="C5657" s="2" t="str">
        <f>IF((COUNTIF(C5661:C5667,"Show")+COUNTIF(C5670:C5675,"Show")+COUNTIF(C5678:C5683,"Show"))&gt;0,"Show","Hide")</f>
        <v>Show</v>
      </c>
      <c r="D5657" s="23" t="s">
        <v>117</v>
      </c>
      <c r="E5657" s="13"/>
      <c r="G5657" s="13"/>
    </row>
    <row r="5658" spans="2:8" hidden="1" outlineLevel="1">
      <c r="B5658" s="12" t="s">
        <v>2697</v>
      </c>
      <c r="C5658" s="9" t="str">
        <f>C5657</f>
        <v>Show</v>
      </c>
      <c r="D5658" s="23"/>
      <c r="E5658" s="13">
        <v>1.1000000000000001</v>
      </c>
      <c r="F5658" s="11" t="s">
        <v>118</v>
      </c>
      <c r="G5658" s="13"/>
    </row>
    <row r="5659" spans="2:8" hidden="1" outlineLevel="1">
      <c r="B5659" s="12" t="s">
        <v>2697</v>
      </c>
      <c r="C5659" s="9" t="str">
        <f>C5658</f>
        <v>Show</v>
      </c>
      <c r="D5659" s="23"/>
      <c r="E5659" s="13"/>
      <c r="F5659" s="70" t="s">
        <v>119</v>
      </c>
      <c r="G5659" s="18" t="s">
        <v>677</v>
      </c>
    </row>
    <row r="5660" spans="2:8" hidden="1" outlineLevel="1">
      <c r="B5660" s="12" t="s">
        <v>2697</v>
      </c>
      <c r="C5660" s="9" t="str">
        <f>C5659</f>
        <v>Show</v>
      </c>
      <c r="D5660" s="23"/>
      <c r="E5660" s="13"/>
      <c r="F5660" s="70"/>
      <c r="G5660" s="78" t="s">
        <v>121</v>
      </c>
      <c r="H5660" s="79" t="s">
        <v>2301</v>
      </c>
    </row>
    <row r="5661" spans="2:8" hidden="1" outlineLevel="1">
      <c r="B5661" s="12" t="s">
        <v>2697</v>
      </c>
      <c r="C5661" s="9" t="str">
        <f>IF(COUNTIF(C5662:C5667,"Show")&gt;0,"Show","Hide")</f>
        <v>Show</v>
      </c>
      <c r="D5661" s="23"/>
      <c r="E5661" s="13">
        <v>1.2</v>
      </c>
      <c r="F5661" s="71" t="s">
        <v>131</v>
      </c>
      <c r="G5661" s="78"/>
    </row>
    <row r="5662" spans="2:8" hidden="1" outlineLevel="1">
      <c r="B5662" s="12"/>
      <c r="C5662" t="str">
        <f>$D$5946</f>
        <v>Show</v>
      </c>
      <c r="D5662" s="23"/>
      <c r="E5662" s="13"/>
      <c r="F5662" s="70" t="s">
        <v>119</v>
      </c>
      <c r="G5662" s="12" t="s">
        <v>3491</v>
      </c>
    </row>
    <row r="5663" spans="2:8" hidden="1" outlineLevel="1">
      <c r="B5663" s="12"/>
      <c r="C5663" s="9" t="str">
        <f>C5662</f>
        <v>Show</v>
      </c>
      <c r="D5663" s="23"/>
      <c r="E5663" s="13"/>
      <c r="F5663" s="71"/>
      <c r="G5663" s="78" t="s">
        <v>121</v>
      </c>
      <c r="H5663" s="75" t="s">
        <v>2932</v>
      </c>
    </row>
    <row r="5664" spans="2:8" hidden="1" outlineLevel="1">
      <c r="B5664" s="12" t="s">
        <v>2697</v>
      </c>
      <c r="C5664" t="str">
        <f>$D$5955</f>
        <v>Show</v>
      </c>
      <c r="D5664" s="23"/>
      <c r="E5664" s="13"/>
      <c r="F5664" s="70" t="str">
        <f>CHAR(65+(COUNTIF(C$5662:C5663,"Show")/2))&amp;"."</f>
        <v>B.</v>
      </c>
      <c r="G5664" s="12" t="s">
        <v>3435</v>
      </c>
    </row>
    <row r="5665" spans="2:8" hidden="1" outlineLevel="1">
      <c r="B5665" s="12" t="s">
        <v>2697</v>
      </c>
      <c r="C5665" s="9" t="str">
        <f>C5664</f>
        <v>Show</v>
      </c>
      <c r="D5665" s="23"/>
      <c r="E5665" s="13"/>
      <c r="F5665" s="70"/>
      <c r="G5665" s="78" t="s">
        <v>121</v>
      </c>
      <c r="H5665" s="75" t="s">
        <v>2538</v>
      </c>
    </row>
    <row r="5666" spans="2:8" hidden="1" outlineLevel="1">
      <c r="B5666" s="12"/>
      <c r="C5666" t="str">
        <f>$D$5994</f>
        <v>Show</v>
      </c>
      <c r="D5666" s="23"/>
      <c r="E5666" s="13"/>
      <c r="F5666" s="70" t="str">
        <f>CHAR(65+(COUNTIF(C$5662:C5665,"Show")/2))&amp;"."</f>
        <v>C.</v>
      </c>
      <c r="G5666" s="12" t="s">
        <v>3459</v>
      </c>
    </row>
    <row r="5667" spans="2:8" hidden="1" outlineLevel="1">
      <c r="B5667" s="12"/>
      <c r="C5667" s="9" t="str">
        <f>C5666</f>
        <v>Show</v>
      </c>
      <c r="D5667" s="23"/>
      <c r="E5667" s="13"/>
      <c r="F5667" s="70"/>
      <c r="G5667" s="78" t="s">
        <v>121</v>
      </c>
      <c r="H5667" s="75" t="s">
        <v>2810</v>
      </c>
    </row>
    <row r="5668" spans="2:8" hidden="1" outlineLevel="1">
      <c r="B5668" s="12" t="s">
        <v>2697</v>
      </c>
      <c r="C5668" s="9" t="str">
        <f>C5657</f>
        <v>Show</v>
      </c>
      <c r="D5668" s="23" t="s">
        <v>613</v>
      </c>
      <c r="E5668" s="13"/>
      <c r="G5668" s="13"/>
    </row>
    <row r="5669" spans="2:8" hidden="1" outlineLevel="1">
      <c r="B5669" s="12" t="s">
        <v>2697</v>
      </c>
      <c r="C5669" s="9" t="str">
        <f>C5657</f>
        <v>Show</v>
      </c>
      <c r="D5669" s="23"/>
      <c r="E5669" s="12" t="str">
        <f>IF(COUNTIF(C5670:C5675,"Show")&gt;0,"2.1 Product Requirements","No EGC Requirements")</f>
        <v>2.1 Product Requirements</v>
      </c>
      <c r="G5669" s="13"/>
    </row>
    <row r="5670" spans="2:8" hidden="1" outlineLevel="1">
      <c r="B5670" s="12"/>
      <c r="C5670" t="str">
        <f>$E$5946</f>
        <v>Show</v>
      </c>
      <c r="D5670" s="23"/>
      <c r="E5670" s="12"/>
      <c r="F5670" s="70" t="s">
        <v>119</v>
      </c>
      <c r="G5670" s="12" t="s">
        <v>3491</v>
      </c>
    </row>
    <row r="5671" spans="2:8" hidden="1" outlineLevel="1">
      <c r="B5671" s="12"/>
      <c r="C5671" s="9" t="str">
        <f>C5670</f>
        <v>Show</v>
      </c>
      <c r="D5671" s="23"/>
      <c r="E5671" s="12"/>
      <c r="G5671" s="30" t="s">
        <v>121</v>
      </c>
      <c r="H5671" s="75" t="s">
        <v>2933</v>
      </c>
    </row>
    <row r="5672" spans="2:8" hidden="1" outlineLevel="1">
      <c r="B5672" s="12" t="s">
        <v>2697</v>
      </c>
      <c r="C5672" t="str">
        <f>$E$5955</f>
        <v>Show</v>
      </c>
      <c r="D5672" s="23"/>
      <c r="E5672" s="12"/>
      <c r="F5672" s="70" t="str">
        <f>CHAR(65+(COUNTIF(C$5670:C5671,"Show")/2))&amp;"."</f>
        <v>B.</v>
      </c>
      <c r="G5672" s="12" t="s">
        <v>3435</v>
      </c>
    </row>
    <row r="5673" spans="2:8" hidden="1" outlineLevel="1">
      <c r="B5673" s="12" t="s">
        <v>2697</v>
      </c>
      <c r="C5673" s="9" t="str">
        <f>C5672</f>
        <v>Show</v>
      </c>
      <c r="D5673" s="23"/>
      <c r="E5673" s="12"/>
      <c r="F5673" s="70"/>
      <c r="G5673" s="30" t="s">
        <v>121</v>
      </c>
      <c r="H5673" s="75" t="s">
        <v>2539</v>
      </c>
    </row>
    <row r="5674" spans="2:8" hidden="1" outlineLevel="1">
      <c r="B5674" s="12"/>
      <c r="C5674" t="str">
        <f>$E$5994</f>
        <v>Show</v>
      </c>
      <c r="D5674" s="23"/>
      <c r="E5674" s="12"/>
      <c r="F5674" s="70" t="str">
        <f>CHAR(65+(COUNTIF(C$5670:C5673,"Show")/2))&amp;"."</f>
        <v>C.</v>
      </c>
      <c r="G5674" s="12" t="s">
        <v>3459</v>
      </c>
    </row>
    <row r="5675" spans="2:8" hidden="1" outlineLevel="1">
      <c r="B5675" s="12"/>
      <c r="C5675" s="9" t="str">
        <f>C5674</f>
        <v>Show</v>
      </c>
      <c r="D5675" s="23"/>
      <c r="E5675" s="12"/>
      <c r="F5675" s="70"/>
      <c r="G5675" s="30" t="s">
        <v>121</v>
      </c>
      <c r="H5675" s="75" t="s">
        <v>2809</v>
      </c>
    </row>
    <row r="5676" spans="2:8" hidden="1" outlineLevel="1">
      <c r="B5676" s="12" t="s">
        <v>2697</v>
      </c>
      <c r="C5676" s="9" t="str">
        <f>C5657</f>
        <v>Show</v>
      </c>
      <c r="D5676" s="23" t="s">
        <v>187</v>
      </c>
      <c r="E5676" s="13"/>
      <c r="G5676" s="13"/>
    </row>
    <row r="5677" spans="2:8" hidden="1" outlineLevel="1">
      <c r="B5677" s="12" t="s">
        <v>2697</v>
      </c>
      <c r="C5677" s="9" t="str">
        <f>C5657</f>
        <v>Show</v>
      </c>
      <c r="D5677" s="23"/>
      <c r="E5677" s="12" t="str">
        <f>IF(COUNTIF(C5678:C5683,"Show")&gt;0,"3.1 Execution Requirements","No EGC Requirements")</f>
        <v>3.1 Execution Requirements</v>
      </c>
      <c r="G5677" s="13"/>
    </row>
    <row r="5678" spans="2:8" hidden="1" outlineLevel="1">
      <c r="B5678" s="12"/>
      <c r="C5678" t="str">
        <f>$F$5946</f>
        <v>Show</v>
      </c>
      <c r="D5678" s="23"/>
      <c r="E5678" s="12"/>
      <c r="F5678" s="70" t="s">
        <v>119</v>
      </c>
      <c r="G5678" s="12" t="s">
        <v>3491</v>
      </c>
    </row>
    <row r="5679" spans="2:8" hidden="1" outlineLevel="1">
      <c r="B5679" s="12"/>
      <c r="C5679" s="9" t="str">
        <f>C5678</f>
        <v>Show</v>
      </c>
      <c r="D5679" s="23"/>
      <c r="E5679" s="12"/>
      <c r="G5679" s="78" t="s">
        <v>121</v>
      </c>
      <c r="H5679" s="75" t="s">
        <v>2935</v>
      </c>
    </row>
    <row r="5680" spans="2:8" hidden="1" outlineLevel="1">
      <c r="B5680" s="12" t="s">
        <v>2697</v>
      </c>
      <c r="C5680" t="str">
        <f>$F$5955</f>
        <v>Show</v>
      </c>
      <c r="D5680" s="23"/>
      <c r="E5680" s="12"/>
      <c r="F5680" s="70" t="str">
        <f>CHAR(65+(COUNTIF(C$5678:C5679,"Show")/2))&amp;"."</f>
        <v>B.</v>
      </c>
      <c r="G5680" s="12" t="s">
        <v>3435</v>
      </c>
    </row>
    <row r="5681" spans="2:8" ht="30" hidden="1" outlineLevel="1">
      <c r="B5681" s="12" t="s">
        <v>2697</v>
      </c>
      <c r="C5681" s="9" t="str">
        <f>C5680</f>
        <v>Show</v>
      </c>
      <c r="D5681" s="23"/>
      <c r="E5681" s="12"/>
      <c r="F5681" s="70"/>
      <c r="G5681" s="78" t="s">
        <v>121</v>
      </c>
      <c r="H5681" s="75" t="s">
        <v>2540</v>
      </c>
    </row>
    <row r="5682" spans="2:8" hidden="1" outlineLevel="1">
      <c r="B5682" s="12"/>
      <c r="C5682" t="str">
        <f>$F$5994</f>
        <v>Show</v>
      </c>
      <c r="D5682" s="23"/>
      <c r="E5682" s="12"/>
      <c r="F5682" s="70" t="str">
        <f>CHAR(65+(COUNTIF(C$5678:C5681,"Show")/2))&amp;"."</f>
        <v>C.</v>
      </c>
      <c r="G5682" s="12" t="s">
        <v>3459</v>
      </c>
    </row>
    <row r="5683" spans="2:8" ht="30" hidden="1" outlineLevel="1">
      <c r="B5683" s="12"/>
      <c r="C5683" s="9" t="str">
        <f>C5682</f>
        <v>Show</v>
      </c>
      <c r="D5683" s="23"/>
      <c r="E5683" s="12"/>
      <c r="F5683" s="70"/>
      <c r="G5683" s="78" t="s">
        <v>121</v>
      </c>
      <c r="H5683" s="75" t="s">
        <v>2815</v>
      </c>
    </row>
    <row r="5684" spans="2:8" hidden="1" outlineLevel="1">
      <c r="B5684" s="12" t="s">
        <v>2697</v>
      </c>
      <c r="C5684" s="9" t="str">
        <f>C5657</f>
        <v>Show</v>
      </c>
    </row>
    <row r="5685" spans="2:8" collapsed="1">
      <c r="B5685" s="23"/>
      <c r="C5685" s="2" t="str">
        <f>C5686</f>
        <v>Show</v>
      </c>
      <c r="D5685" s="55" t="s">
        <v>1746</v>
      </c>
      <c r="E5685" s="60"/>
      <c r="F5685" s="57" t="s">
        <v>1745</v>
      </c>
      <c r="G5685" s="59"/>
      <c r="H5685" s="54"/>
    </row>
    <row r="5686" spans="2:8" hidden="1" outlineLevel="1">
      <c r="B5686" s="12" t="s">
        <v>2697</v>
      </c>
      <c r="C5686" s="2" t="str">
        <f>IF((COUNTIF(C5690:C5692,"Show")+COUNTIF(C5697:C5698,"Show"))&gt;0,"Show","Hide")</f>
        <v>Show</v>
      </c>
      <c r="D5686" s="23" t="s">
        <v>117</v>
      </c>
      <c r="E5686" s="13"/>
      <c r="G5686" s="13"/>
    </row>
    <row r="5687" spans="2:8" hidden="1" outlineLevel="1">
      <c r="B5687" s="12" t="s">
        <v>2697</v>
      </c>
      <c r="C5687" s="9" t="str">
        <f>C5686</f>
        <v>Show</v>
      </c>
      <c r="D5687" s="23"/>
      <c r="E5687" s="13">
        <v>1.1000000000000001</v>
      </c>
      <c r="F5687" s="11" t="s">
        <v>118</v>
      </c>
      <c r="G5687" s="13"/>
    </row>
    <row r="5688" spans="2:8" hidden="1" outlineLevel="1">
      <c r="B5688" s="12" t="s">
        <v>2697</v>
      </c>
      <c r="C5688" s="9" t="str">
        <f>C5687</f>
        <v>Show</v>
      </c>
      <c r="D5688" s="23"/>
      <c r="E5688" s="13"/>
      <c r="F5688" s="70" t="s">
        <v>119</v>
      </c>
      <c r="G5688" s="18" t="s">
        <v>677</v>
      </c>
    </row>
    <row r="5689" spans="2:8" hidden="1" outlineLevel="1">
      <c r="B5689" s="12" t="s">
        <v>2697</v>
      </c>
      <c r="C5689" s="9" t="str">
        <f>C5688</f>
        <v>Show</v>
      </c>
      <c r="D5689" s="23"/>
      <c r="E5689" s="13"/>
      <c r="F5689" s="70"/>
      <c r="G5689" s="78" t="s">
        <v>121</v>
      </c>
      <c r="H5689" s="79" t="s">
        <v>2301</v>
      </c>
    </row>
    <row r="5690" spans="2:8" hidden="1" outlineLevel="1">
      <c r="B5690" s="12" t="s">
        <v>2697</v>
      </c>
      <c r="C5690" s="9" t="str">
        <f>IF(COUNTIF(C5691:C5692,"Show")&gt;0,"Show","Hide")</f>
        <v>Show</v>
      </c>
      <c r="D5690" s="23"/>
      <c r="E5690" s="13">
        <v>1.2</v>
      </c>
      <c r="F5690" s="71" t="s">
        <v>131</v>
      </c>
      <c r="G5690" s="78"/>
    </row>
    <row r="5691" spans="2:8" hidden="1" outlineLevel="1">
      <c r="B5691" s="12"/>
      <c r="C5691" t="str">
        <f>$D$5994</f>
        <v>Show</v>
      </c>
      <c r="D5691" s="23"/>
      <c r="E5691" s="13"/>
      <c r="F5691" s="70" t="s">
        <v>119</v>
      </c>
      <c r="G5691" s="12" t="s">
        <v>3459</v>
      </c>
    </row>
    <row r="5692" spans="2:8" hidden="1" outlineLevel="1">
      <c r="B5692" s="12"/>
      <c r="C5692" s="9" t="str">
        <f>C5691</f>
        <v>Show</v>
      </c>
      <c r="D5692" s="23"/>
      <c r="E5692" s="13"/>
      <c r="F5692" s="70"/>
      <c r="G5692" s="78" t="s">
        <v>121</v>
      </c>
      <c r="H5692" s="75" t="s">
        <v>2810</v>
      </c>
    </row>
    <row r="5693" spans="2:8" hidden="1" outlineLevel="1">
      <c r="B5693" s="12" t="s">
        <v>2697</v>
      </c>
      <c r="C5693" s="9" t="str">
        <f>C5686</f>
        <v>Show</v>
      </c>
      <c r="D5693" s="23" t="s">
        <v>613</v>
      </c>
      <c r="E5693" s="13"/>
      <c r="G5693" s="13"/>
    </row>
    <row r="5694" spans="2:8" hidden="1" outlineLevel="1">
      <c r="B5694" s="12" t="s">
        <v>2697</v>
      </c>
      <c r="C5694" s="9" t="str">
        <f>C5686</f>
        <v>Show</v>
      </c>
      <c r="D5694" s="23"/>
      <c r="E5694" s="12" t="s">
        <v>2703</v>
      </c>
      <c r="G5694" s="13"/>
    </row>
    <row r="5695" spans="2:8" hidden="1" outlineLevel="1">
      <c r="B5695" s="12" t="s">
        <v>2697</v>
      </c>
      <c r="C5695" s="9" t="str">
        <f>C5686</f>
        <v>Show</v>
      </c>
      <c r="D5695" s="23" t="s">
        <v>187</v>
      </c>
      <c r="E5695" s="13"/>
      <c r="G5695" s="13"/>
    </row>
    <row r="5696" spans="2:8" hidden="1" outlineLevel="1">
      <c r="B5696" s="12" t="s">
        <v>2697</v>
      </c>
      <c r="C5696" s="9" t="str">
        <f>C5686</f>
        <v>Show</v>
      </c>
      <c r="D5696" s="23"/>
      <c r="E5696" s="12" t="str">
        <f>IF(COUNTIF(C5697:C5698,"Show")&gt;0,"3.1 Execution Requirements","No EGC Requirements")</f>
        <v>3.1 Execution Requirements</v>
      </c>
      <c r="G5696" s="13"/>
    </row>
    <row r="5697" spans="2:8" hidden="1" outlineLevel="1">
      <c r="B5697" s="12"/>
      <c r="C5697" t="str">
        <f>$F$5994</f>
        <v>Show</v>
      </c>
      <c r="D5697" s="23"/>
      <c r="E5697" s="12"/>
      <c r="F5697" s="70" t="s">
        <v>119</v>
      </c>
      <c r="G5697" s="12" t="s">
        <v>3459</v>
      </c>
    </row>
    <row r="5698" spans="2:8" ht="30" hidden="1" outlineLevel="1">
      <c r="B5698" s="12"/>
      <c r="C5698" s="9" t="str">
        <f>C5697</f>
        <v>Show</v>
      </c>
      <c r="D5698" s="23"/>
      <c r="E5698" s="12"/>
      <c r="F5698" s="70"/>
      <c r="G5698" s="78" t="s">
        <v>121</v>
      </c>
      <c r="H5698" s="75" t="s">
        <v>2815</v>
      </c>
    </row>
    <row r="5699" spans="2:8" hidden="1" outlineLevel="1">
      <c r="B5699" s="12" t="s">
        <v>2697</v>
      </c>
      <c r="C5699" s="9" t="str">
        <f>C5686</f>
        <v>Show</v>
      </c>
    </row>
    <row r="5700" spans="2:8" collapsed="1">
      <c r="B5700" s="76"/>
      <c r="C5700" s="7" t="s">
        <v>116</v>
      </c>
      <c r="D5700" s="83"/>
      <c r="E5700" s="83"/>
      <c r="F5700" s="81"/>
      <c r="G5700" s="69"/>
    </row>
    <row r="5701" spans="2:8">
      <c r="B5701" s="76"/>
      <c r="C5701" s="7" t="str">
        <f>IF(COUNTIF(C5702:C5778,"Show")&gt;0,"Show",IF(COUNTIF(C5702:C5778,"Always Show"),"Show","Hide"))</f>
        <v>Show</v>
      </c>
      <c r="D5701" s="38" t="s">
        <v>564</v>
      </c>
      <c r="E5701" s="45"/>
      <c r="F5701" s="46"/>
      <c r="G5701" s="39"/>
      <c r="H5701" s="41"/>
    </row>
    <row r="5702" spans="2:8">
      <c r="B5702" s="77"/>
      <c r="C5702" s="7" t="str">
        <f>C5703</f>
        <v>Show</v>
      </c>
      <c r="D5702" s="60" t="s">
        <v>600</v>
      </c>
      <c r="E5702" s="60"/>
      <c r="F5702" s="56" t="s">
        <v>601</v>
      </c>
      <c r="G5702" s="59"/>
      <c r="H5702" s="58"/>
    </row>
    <row r="5703" spans="2:8" hidden="1" outlineLevel="1">
      <c r="B5703" s="76"/>
      <c r="C5703" s="2" t="str">
        <f>IF((COUNTIF(C5707:C5709,"Show")+COUNTIF(C5712:C5713,"Show")+COUNTIF(C5716:C5717,"Show"))&gt;0,"Show","Hide")</f>
        <v>Show</v>
      </c>
      <c r="D5703" s="23" t="s">
        <v>117</v>
      </c>
      <c r="E5703" s="13"/>
      <c r="G5703" s="13"/>
    </row>
    <row r="5704" spans="2:8" hidden="1" outlineLevel="1">
      <c r="B5704" s="76"/>
      <c r="C5704" s="9" t="str">
        <f>C5703</f>
        <v>Show</v>
      </c>
      <c r="D5704" s="23"/>
      <c r="E5704" s="13">
        <v>1.1000000000000001</v>
      </c>
      <c r="F5704" s="11" t="s">
        <v>118</v>
      </c>
      <c r="G5704" s="13"/>
    </row>
    <row r="5705" spans="2:8" hidden="1" outlineLevel="1">
      <c r="B5705" s="76"/>
      <c r="C5705" s="9" t="str">
        <f>C5704</f>
        <v>Show</v>
      </c>
      <c r="D5705" s="23"/>
      <c r="E5705" s="13"/>
      <c r="F5705" s="70" t="s">
        <v>119</v>
      </c>
      <c r="G5705" s="18" t="s">
        <v>677</v>
      </c>
    </row>
    <row r="5706" spans="2:8" hidden="1" outlineLevel="1">
      <c r="B5706" s="76"/>
      <c r="C5706" s="9" t="str">
        <f>C5705</f>
        <v>Show</v>
      </c>
      <c r="D5706" s="23"/>
      <c r="E5706" s="13"/>
      <c r="F5706" s="70"/>
      <c r="G5706" s="78" t="s">
        <v>121</v>
      </c>
      <c r="H5706" s="79" t="s">
        <v>2301</v>
      </c>
    </row>
    <row r="5707" spans="2:8" hidden="1" outlineLevel="1">
      <c r="B5707" s="76"/>
      <c r="C5707" s="9" t="str">
        <f>IF(COUNTIF(C5708:C5709,"Show")&gt;0,"Show","Hide")</f>
        <v>Show</v>
      </c>
      <c r="D5707" s="23"/>
      <c r="E5707" s="13">
        <v>1.2</v>
      </c>
      <c r="F5707" s="71" t="s">
        <v>131</v>
      </c>
      <c r="G5707" s="78"/>
    </row>
    <row r="5708" spans="2:8" hidden="1" outlineLevel="1">
      <c r="B5708" s="76"/>
      <c r="C5708" t="str">
        <f>$D$5958</f>
        <v>Show</v>
      </c>
      <c r="D5708" s="23"/>
      <c r="E5708" s="13"/>
      <c r="F5708" s="70" t="s">
        <v>119</v>
      </c>
      <c r="G5708" s="12" t="s">
        <v>3403</v>
      </c>
    </row>
    <row r="5709" spans="2:8" hidden="1" outlineLevel="1">
      <c r="B5709" s="76"/>
      <c r="C5709" s="9" t="str">
        <f>C5708</f>
        <v>Show</v>
      </c>
      <c r="D5709" s="23"/>
      <c r="E5709" s="13"/>
      <c r="F5709" s="70"/>
      <c r="G5709" s="78" t="s">
        <v>121</v>
      </c>
      <c r="H5709" s="75" t="s">
        <v>2867</v>
      </c>
    </row>
    <row r="5710" spans="2:8" hidden="1" outlineLevel="1">
      <c r="B5710" s="76"/>
      <c r="C5710" s="9" t="str">
        <f>C5703</f>
        <v>Show</v>
      </c>
      <c r="D5710" s="23" t="s">
        <v>613</v>
      </c>
      <c r="E5710" s="13"/>
      <c r="G5710" s="13"/>
    </row>
    <row r="5711" spans="2:8" hidden="1" outlineLevel="1">
      <c r="B5711" s="76"/>
      <c r="C5711" s="9" t="str">
        <f>C5703</f>
        <v>Show</v>
      </c>
      <c r="D5711" s="23"/>
      <c r="E5711" s="12" t="str">
        <f>IF(COUNTIF(C5712:C5713,"Show")&gt;0,"2.1 Product Requirements","No EGC Requirements")</f>
        <v>2.1 Product Requirements</v>
      </c>
      <c r="G5711" s="13"/>
    </row>
    <row r="5712" spans="2:8" hidden="1" outlineLevel="1">
      <c r="B5712" s="76"/>
      <c r="C5712" t="str">
        <f>$E$5958</f>
        <v>Show</v>
      </c>
      <c r="D5712" s="23"/>
      <c r="E5712" s="12"/>
      <c r="F5712" s="70" t="s">
        <v>119</v>
      </c>
      <c r="G5712" s="12" t="s">
        <v>3403</v>
      </c>
    </row>
    <row r="5713" spans="2:8" hidden="1" outlineLevel="1">
      <c r="B5713" s="76"/>
      <c r="C5713" s="9" t="str">
        <f>C5712</f>
        <v>Show</v>
      </c>
      <c r="D5713" s="23"/>
      <c r="E5713" s="12"/>
      <c r="G5713" s="30" t="s">
        <v>121</v>
      </c>
      <c r="H5713" s="75" t="s">
        <v>2871</v>
      </c>
    </row>
    <row r="5714" spans="2:8" hidden="1" outlineLevel="1">
      <c r="B5714" s="76"/>
      <c r="C5714" s="9" t="str">
        <f>C5703</f>
        <v>Show</v>
      </c>
      <c r="D5714" s="23" t="s">
        <v>187</v>
      </c>
      <c r="E5714" s="13"/>
      <c r="G5714" s="13"/>
    </row>
    <row r="5715" spans="2:8" hidden="1" outlineLevel="1">
      <c r="B5715" s="76"/>
      <c r="C5715" s="9" t="str">
        <f>C5703</f>
        <v>Show</v>
      </c>
      <c r="D5715" s="23"/>
      <c r="E5715" s="12" t="str">
        <f>IF(COUNTIF(C5716:C5717,"Show")&gt;0,"3.1 Execution Requirements","No EGC Requirements")</f>
        <v>3.1 Execution Requirements</v>
      </c>
      <c r="G5715" s="13"/>
    </row>
    <row r="5716" spans="2:8" hidden="1" outlineLevel="1">
      <c r="B5716" s="76"/>
      <c r="C5716" t="str">
        <f>$F$5958</f>
        <v>Show</v>
      </c>
      <c r="D5716" s="23"/>
      <c r="E5716" s="13"/>
      <c r="F5716" s="70" t="s">
        <v>119</v>
      </c>
      <c r="G5716" s="12" t="s">
        <v>3403</v>
      </c>
    </row>
    <row r="5717" spans="2:8" hidden="1" outlineLevel="1">
      <c r="B5717" s="76"/>
      <c r="C5717" s="9" t="str">
        <f>C5716</f>
        <v>Show</v>
      </c>
      <c r="D5717" s="23"/>
      <c r="E5717" s="13"/>
      <c r="G5717" s="78" t="s">
        <v>121</v>
      </c>
      <c r="H5717" s="75" t="s">
        <v>2874</v>
      </c>
    </row>
    <row r="5718" spans="2:8" hidden="1" outlineLevel="1">
      <c r="B5718" s="76"/>
      <c r="C5718" s="9" t="str">
        <f>C5703</f>
        <v>Show</v>
      </c>
    </row>
    <row r="5719" spans="2:8" collapsed="1">
      <c r="B5719" s="23"/>
      <c r="C5719" s="2" t="str">
        <f>C5720</f>
        <v>Show</v>
      </c>
      <c r="D5719" s="60" t="s">
        <v>350</v>
      </c>
      <c r="E5719" s="60"/>
      <c r="F5719" s="56" t="s">
        <v>599</v>
      </c>
      <c r="G5719" s="59"/>
      <c r="H5719" s="58"/>
    </row>
    <row r="5720" spans="2:8" hidden="1" outlineLevel="1">
      <c r="B5720" s="76"/>
      <c r="C5720" s="2" t="str">
        <f>IF((COUNTIF(C5724:C5726,"Show")+COUNTIF(C5729:C5730,"Show")+COUNTIF(C5733:C5734,"Show"))&gt;0,"Show","Hide")</f>
        <v>Show</v>
      </c>
      <c r="D5720" s="23" t="s">
        <v>117</v>
      </c>
      <c r="E5720" s="13"/>
      <c r="G5720" s="13"/>
    </row>
    <row r="5721" spans="2:8" hidden="1" outlineLevel="1">
      <c r="B5721" s="76"/>
      <c r="C5721" s="9" t="str">
        <f>C5720</f>
        <v>Show</v>
      </c>
      <c r="D5721" s="23"/>
      <c r="E5721" s="13">
        <v>1.1000000000000001</v>
      </c>
      <c r="F5721" s="11" t="s">
        <v>118</v>
      </c>
      <c r="G5721" s="13"/>
    </row>
    <row r="5722" spans="2:8" hidden="1" outlineLevel="1">
      <c r="B5722" s="76"/>
      <c r="C5722" s="9" t="str">
        <f>C5721</f>
        <v>Show</v>
      </c>
      <c r="D5722" s="23"/>
      <c r="E5722" s="13"/>
      <c r="F5722" s="70" t="s">
        <v>119</v>
      </c>
      <c r="G5722" s="18" t="s">
        <v>677</v>
      </c>
    </row>
    <row r="5723" spans="2:8" hidden="1" outlineLevel="1">
      <c r="B5723" s="76"/>
      <c r="C5723" s="9" t="str">
        <f>C5722</f>
        <v>Show</v>
      </c>
      <c r="D5723" s="23"/>
      <c r="E5723" s="13"/>
      <c r="F5723" s="70"/>
      <c r="G5723" s="78" t="s">
        <v>121</v>
      </c>
      <c r="H5723" s="79" t="s">
        <v>2301</v>
      </c>
    </row>
    <row r="5724" spans="2:8" hidden="1" outlineLevel="1">
      <c r="B5724" s="76"/>
      <c r="C5724" s="9" t="str">
        <f>IF(COUNTIF(C5725:C5726,"Show")&gt;0,"Show","Hide")</f>
        <v>Show</v>
      </c>
      <c r="D5724" s="23"/>
      <c r="E5724" s="13">
        <v>1.2</v>
      </c>
      <c r="F5724" s="71" t="s">
        <v>131</v>
      </c>
      <c r="G5724" s="78"/>
    </row>
    <row r="5725" spans="2:8" hidden="1" outlineLevel="1">
      <c r="B5725" s="76"/>
      <c r="C5725" t="str">
        <f>$D$5958</f>
        <v>Show</v>
      </c>
      <c r="D5725" s="23"/>
      <c r="E5725" s="13"/>
      <c r="F5725" s="70" t="s">
        <v>119</v>
      </c>
      <c r="G5725" s="12" t="s">
        <v>3403</v>
      </c>
    </row>
    <row r="5726" spans="2:8" hidden="1" outlineLevel="1">
      <c r="B5726" s="76"/>
      <c r="C5726" s="9" t="str">
        <f>C5725</f>
        <v>Show</v>
      </c>
      <c r="D5726" s="23"/>
      <c r="E5726" s="13"/>
      <c r="F5726" s="70"/>
      <c r="G5726" s="78" t="s">
        <v>121</v>
      </c>
      <c r="H5726" s="75" t="s">
        <v>2867</v>
      </c>
    </row>
    <row r="5727" spans="2:8" hidden="1" outlineLevel="1">
      <c r="B5727" s="76"/>
      <c r="C5727" s="9" t="str">
        <f>C5720</f>
        <v>Show</v>
      </c>
      <c r="D5727" s="23" t="s">
        <v>613</v>
      </c>
      <c r="E5727" s="13"/>
      <c r="G5727" s="13"/>
    </row>
    <row r="5728" spans="2:8" hidden="1" outlineLevel="1">
      <c r="B5728" s="76"/>
      <c r="C5728" s="9" t="str">
        <f>C5720</f>
        <v>Show</v>
      </c>
      <c r="D5728" s="23"/>
      <c r="E5728" s="12" t="str">
        <f>IF(COUNTIF(C5729:C5730,"Show")&gt;0,"2.1 Product Requirements","No EGC Requirements")</f>
        <v>2.1 Product Requirements</v>
      </c>
      <c r="G5728" s="13"/>
    </row>
    <row r="5729" spans="2:8" hidden="1" outlineLevel="1">
      <c r="B5729" s="76"/>
      <c r="C5729" t="str">
        <f>$E$5958</f>
        <v>Show</v>
      </c>
      <c r="D5729" s="23"/>
      <c r="E5729" s="12"/>
      <c r="F5729" s="70" t="s">
        <v>119</v>
      </c>
      <c r="G5729" s="12" t="s">
        <v>3403</v>
      </c>
    </row>
    <row r="5730" spans="2:8" hidden="1" outlineLevel="1">
      <c r="B5730" s="76"/>
      <c r="C5730" s="9" t="str">
        <f>C5729</f>
        <v>Show</v>
      </c>
      <c r="D5730" s="23"/>
      <c r="E5730" s="12"/>
      <c r="G5730" s="30" t="s">
        <v>121</v>
      </c>
      <c r="H5730" s="75" t="s">
        <v>2871</v>
      </c>
    </row>
    <row r="5731" spans="2:8" hidden="1" outlineLevel="1">
      <c r="B5731" s="76"/>
      <c r="C5731" s="9" t="str">
        <f>C5720</f>
        <v>Show</v>
      </c>
      <c r="D5731" s="23" t="s">
        <v>187</v>
      </c>
      <c r="E5731" s="13"/>
      <c r="G5731" s="13"/>
    </row>
    <row r="5732" spans="2:8" hidden="1" outlineLevel="1">
      <c r="B5732" s="76"/>
      <c r="C5732" s="9" t="str">
        <f>C5720</f>
        <v>Show</v>
      </c>
      <c r="D5732" s="23"/>
      <c r="E5732" s="12" t="str">
        <f>IF(COUNTIF(C5733:C5734,"Show")&gt;0,"3.1 Execution Requirements","No EGC Requirements")</f>
        <v>3.1 Execution Requirements</v>
      </c>
      <c r="G5732" s="13"/>
    </row>
    <row r="5733" spans="2:8" hidden="1" outlineLevel="1">
      <c r="B5733" s="76"/>
      <c r="C5733" t="str">
        <f>$F$5958</f>
        <v>Show</v>
      </c>
      <c r="D5733" s="23"/>
      <c r="E5733" s="13"/>
      <c r="F5733" s="70" t="s">
        <v>119</v>
      </c>
      <c r="G5733" s="12" t="s">
        <v>3403</v>
      </c>
    </row>
    <row r="5734" spans="2:8" hidden="1" outlineLevel="1">
      <c r="B5734" s="76"/>
      <c r="C5734" s="9" t="str">
        <f>C5733</f>
        <v>Show</v>
      </c>
      <c r="D5734" s="23"/>
      <c r="E5734" s="13"/>
      <c r="G5734" s="78" t="s">
        <v>121</v>
      </c>
      <c r="H5734" s="75" t="s">
        <v>2874</v>
      </c>
    </row>
    <row r="5735" spans="2:8" hidden="1" outlineLevel="1">
      <c r="B5735" s="76"/>
      <c r="C5735" s="9" t="str">
        <f>C5720</f>
        <v>Show</v>
      </c>
    </row>
    <row r="5736" spans="2:8" collapsed="1">
      <c r="B5736" s="23"/>
      <c r="C5736" s="2" t="str">
        <f>C5737</f>
        <v>Show</v>
      </c>
      <c r="D5736" s="60" t="s">
        <v>582</v>
      </c>
      <c r="E5736" s="60"/>
      <c r="F5736" s="56" t="s">
        <v>583</v>
      </c>
      <c r="G5736" s="59"/>
      <c r="H5736" s="58"/>
    </row>
    <row r="5737" spans="2:8" hidden="1" outlineLevel="1">
      <c r="B5737" s="76"/>
      <c r="C5737" s="2" t="str">
        <f>IF((COUNTIF(C5741:C5747,"Show")+COUNTIF(C5750:C5753,"Show")+COUNTIF(C5756:C5759,"Show"))&gt;0,"Show","Hide")</f>
        <v>Show</v>
      </c>
      <c r="D5737" s="23" t="s">
        <v>117</v>
      </c>
      <c r="E5737" s="13"/>
      <c r="G5737" s="13"/>
    </row>
    <row r="5738" spans="2:8" hidden="1" outlineLevel="1">
      <c r="B5738" s="76"/>
      <c r="C5738" s="9" t="str">
        <f>C5737</f>
        <v>Show</v>
      </c>
      <c r="D5738" s="23"/>
      <c r="E5738" s="13">
        <v>1.1000000000000001</v>
      </c>
      <c r="F5738" s="11" t="s">
        <v>118</v>
      </c>
      <c r="G5738" s="13"/>
    </row>
    <row r="5739" spans="2:8" hidden="1" outlineLevel="1">
      <c r="B5739" s="76"/>
      <c r="C5739" s="9" t="str">
        <f>C5738</f>
        <v>Show</v>
      </c>
      <c r="D5739" s="23"/>
      <c r="E5739" s="13"/>
      <c r="F5739" s="70" t="s">
        <v>119</v>
      </c>
      <c r="G5739" s="18" t="s">
        <v>677</v>
      </c>
    </row>
    <row r="5740" spans="2:8" hidden="1" outlineLevel="1">
      <c r="B5740" s="76"/>
      <c r="C5740" s="9" t="str">
        <f>C5739</f>
        <v>Show</v>
      </c>
      <c r="D5740" s="23"/>
      <c r="E5740" s="13"/>
      <c r="F5740" s="70"/>
      <c r="G5740" s="78" t="s">
        <v>121</v>
      </c>
      <c r="H5740" s="79" t="s">
        <v>2301</v>
      </c>
    </row>
    <row r="5741" spans="2:8" hidden="1" outlineLevel="1">
      <c r="B5741" s="76"/>
      <c r="C5741" s="9" t="str">
        <f>IF(COUNTIF(C5742:C5747,"Show")&gt;0,"Show","Hide")</f>
        <v>Show</v>
      </c>
      <c r="D5741" s="23"/>
      <c r="E5741" s="13">
        <v>1.2</v>
      </c>
      <c r="F5741" s="71" t="s">
        <v>131</v>
      </c>
      <c r="G5741" s="78"/>
    </row>
    <row r="5742" spans="2:8" hidden="1" outlineLevel="1">
      <c r="B5742" s="76"/>
      <c r="C5742" t="str">
        <f>$D$5950</f>
        <v>Show</v>
      </c>
      <c r="D5742" s="23"/>
      <c r="E5742" s="13"/>
      <c r="F5742" s="70" t="s">
        <v>119</v>
      </c>
      <c r="G5742" s="12" t="s">
        <v>3475</v>
      </c>
    </row>
    <row r="5743" spans="2:8" hidden="1" outlineLevel="1">
      <c r="B5743" s="76"/>
      <c r="C5743" s="9" t="str">
        <f>C5742</f>
        <v>Show</v>
      </c>
      <c r="D5743" s="23"/>
      <c r="E5743" s="13"/>
      <c r="F5743" s="70"/>
      <c r="G5743" s="78" t="s">
        <v>121</v>
      </c>
      <c r="H5743" s="75" t="s">
        <v>2882</v>
      </c>
    </row>
    <row r="5744" spans="2:8" hidden="1" outlineLevel="1">
      <c r="B5744" s="76"/>
      <c r="C5744" t="str">
        <f>$D$5961</f>
        <v>Show</v>
      </c>
      <c r="D5744" s="23"/>
      <c r="E5744" s="13"/>
      <c r="F5744" s="70" t="str">
        <f>CHAR(65+(COUNTIF(C$5742:C5743,"Show")/2))&amp;"."</f>
        <v>B.</v>
      </c>
      <c r="G5744" s="12" t="s">
        <v>3472</v>
      </c>
    </row>
    <row r="5745" spans="2:8" hidden="1" outlineLevel="1">
      <c r="B5745" s="76"/>
      <c r="C5745" s="9" t="str">
        <f>C5744</f>
        <v>Show</v>
      </c>
      <c r="D5745" s="23"/>
      <c r="E5745" s="13"/>
      <c r="F5745" s="70"/>
      <c r="G5745" s="78" t="s">
        <v>121</v>
      </c>
      <c r="H5745" s="75" t="s">
        <v>2876</v>
      </c>
    </row>
    <row r="5746" spans="2:8" hidden="1" outlineLevel="1">
      <c r="B5746" s="76"/>
      <c r="C5746" t="str">
        <f>$D$5962</f>
        <v>Show</v>
      </c>
      <c r="D5746" s="23"/>
      <c r="E5746" s="13"/>
      <c r="F5746" s="70" t="str">
        <f>CHAR(65+(COUNTIF(C$5742:C5745,"Show")/2))&amp;"."</f>
        <v>C.</v>
      </c>
      <c r="G5746" s="12" t="s">
        <v>3471</v>
      </c>
    </row>
    <row r="5747" spans="2:8" hidden="1" outlineLevel="1">
      <c r="B5747" s="76"/>
      <c r="C5747" s="9" t="str">
        <f>C5746</f>
        <v>Show</v>
      </c>
      <c r="D5747" s="23"/>
      <c r="E5747" s="13"/>
      <c r="F5747" s="70"/>
      <c r="G5747" s="78" t="s">
        <v>121</v>
      </c>
      <c r="H5747" s="75" t="s">
        <v>2868</v>
      </c>
    </row>
    <row r="5748" spans="2:8" hidden="1" outlineLevel="1">
      <c r="B5748" s="76"/>
      <c r="C5748" s="9" t="str">
        <f>C5737</f>
        <v>Show</v>
      </c>
      <c r="D5748" s="23" t="s">
        <v>613</v>
      </c>
      <c r="E5748" s="13"/>
      <c r="G5748" s="13"/>
    </row>
    <row r="5749" spans="2:8" hidden="1" outlineLevel="1">
      <c r="B5749" s="76"/>
      <c r="C5749" s="9" t="str">
        <f>C5737</f>
        <v>Show</v>
      </c>
      <c r="D5749" s="23"/>
      <c r="E5749" s="12" t="str">
        <f>IF(COUNTIF(C5750:C5753,"Show")&gt;0,"2.1 Product Requirements","No EGC Requirements")</f>
        <v>2.1 Product Requirements</v>
      </c>
      <c r="G5749" s="13"/>
    </row>
    <row r="5750" spans="2:8" hidden="1" outlineLevel="1">
      <c r="B5750" s="76"/>
      <c r="C5750" t="str">
        <f>$E$5961</f>
        <v>Show</v>
      </c>
      <c r="D5750" s="23"/>
      <c r="E5750" s="12"/>
      <c r="F5750" s="70" t="s">
        <v>119</v>
      </c>
      <c r="G5750" s="12" t="s">
        <v>3472</v>
      </c>
    </row>
    <row r="5751" spans="2:8" hidden="1" outlineLevel="1">
      <c r="B5751" s="76"/>
      <c r="C5751" s="9" t="str">
        <f>C5750</f>
        <v>Show</v>
      </c>
      <c r="D5751" s="23"/>
      <c r="E5751" s="12"/>
      <c r="G5751" s="78" t="s">
        <v>121</v>
      </c>
      <c r="H5751" s="75" t="s">
        <v>2878</v>
      </c>
    </row>
    <row r="5752" spans="2:8" hidden="1" outlineLevel="1">
      <c r="B5752" s="76"/>
      <c r="C5752" t="str">
        <f>$E$5962</f>
        <v>Show</v>
      </c>
      <c r="D5752" s="23"/>
      <c r="E5752" s="12"/>
      <c r="F5752" s="70" t="str">
        <f>CHAR(65+(COUNTIF(C$5750:C5751,"Show")/2))&amp;"."</f>
        <v>B.</v>
      </c>
      <c r="G5752" s="12" t="s">
        <v>3471</v>
      </c>
    </row>
    <row r="5753" spans="2:8" hidden="1" outlineLevel="1">
      <c r="B5753" s="76"/>
      <c r="C5753" s="9" t="str">
        <f>C5752</f>
        <v>Show</v>
      </c>
      <c r="D5753" s="23"/>
      <c r="E5753" s="12"/>
      <c r="G5753" s="78" t="s">
        <v>121</v>
      </c>
      <c r="H5753" s="75" t="s">
        <v>2936</v>
      </c>
    </row>
    <row r="5754" spans="2:8" hidden="1" outlineLevel="1">
      <c r="B5754" s="76"/>
      <c r="C5754" s="9" t="str">
        <f>C5737</f>
        <v>Show</v>
      </c>
      <c r="D5754" s="23" t="s">
        <v>187</v>
      </c>
      <c r="E5754" s="13"/>
      <c r="G5754" s="13"/>
    </row>
    <row r="5755" spans="2:8" hidden="1" outlineLevel="1">
      <c r="B5755" s="76"/>
      <c r="C5755" s="9" t="str">
        <f>C5737</f>
        <v>Show</v>
      </c>
      <c r="D5755" s="23"/>
      <c r="E5755" s="12" t="str">
        <f>IF(COUNTIF(C5756:C5759,"Show")&gt;0,"3.1 Execution Requirements","No EGC Requirements")</f>
        <v>3.1 Execution Requirements</v>
      </c>
      <c r="G5755" s="13"/>
    </row>
    <row r="5756" spans="2:8" hidden="1" outlineLevel="1">
      <c r="B5756" s="76"/>
      <c r="C5756" t="str">
        <f>$F$5950</f>
        <v>Show</v>
      </c>
      <c r="D5756" s="23"/>
      <c r="E5756" s="13"/>
      <c r="F5756" s="70" t="s">
        <v>119</v>
      </c>
      <c r="G5756" s="12" t="s">
        <v>3475</v>
      </c>
    </row>
    <row r="5757" spans="2:8" hidden="1" outlineLevel="1">
      <c r="B5757" s="76"/>
      <c r="C5757" s="9" t="str">
        <f>C5756</f>
        <v>Show</v>
      </c>
      <c r="D5757" s="23"/>
      <c r="E5757" s="13"/>
      <c r="G5757" s="78" t="s">
        <v>121</v>
      </c>
      <c r="H5757" s="75" t="s">
        <v>2884</v>
      </c>
    </row>
    <row r="5758" spans="2:8" hidden="1" outlineLevel="1">
      <c r="B5758" s="76"/>
      <c r="C5758" t="str">
        <f>$F$5962</f>
        <v>Show</v>
      </c>
      <c r="D5758" s="23"/>
      <c r="E5758" s="13"/>
      <c r="F5758" s="70" t="str">
        <f>CHAR(65+(COUNTIF(C$5756:C5757,"Show")/2))&amp;"."</f>
        <v>B.</v>
      </c>
      <c r="G5758" s="12" t="s">
        <v>3471</v>
      </c>
    </row>
    <row r="5759" spans="2:8" hidden="1" outlineLevel="1">
      <c r="B5759" s="76"/>
      <c r="C5759" s="9" t="str">
        <f>C5758</f>
        <v>Show</v>
      </c>
      <c r="D5759" s="23"/>
      <c r="E5759" s="13"/>
      <c r="G5759" s="78" t="s">
        <v>121</v>
      </c>
      <c r="H5759" s="75" t="s">
        <v>2875</v>
      </c>
    </row>
    <row r="5760" spans="2:8" hidden="1" outlineLevel="1">
      <c r="B5760" s="76"/>
      <c r="C5760" s="9" t="str">
        <f>C5737</f>
        <v>Show</v>
      </c>
    </row>
    <row r="5761" spans="2:8" collapsed="1">
      <c r="B5761" s="23"/>
      <c r="C5761" s="2" t="str">
        <f>C5762</f>
        <v>Show</v>
      </c>
      <c r="D5761" s="60" t="s">
        <v>351</v>
      </c>
      <c r="E5761" s="60"/>
      <c r="F5761" s="56" t="s">
        <v>352</v>
      </c>
      <c r="G5761" s="59"/>
      <c r="H5761" s="58"/>
    </row>
    <row r="5762" spans="2:8" hidden="1" outlineLevel="1">
      <c r="B5762" s="76"/>
      <c r="C5762" s="2" t="str">
        <f>IF((COUNTIF(C5766:C5768,"Show")+COUNTIF(C5771:C5772,"Show")+COUNTIF(C5775:C5776,"Show"))&gt;0,"Show","Hide")</f>
        <v>Show</v>
      </c>
      <c r="D5762" s="23" t="s">
        <v>117</v>
      </c>
      <c r="E5762" s="13"/>
      <c r="G5762" s="13"/>
    </row>
    <row r="5763" spans="2:8" hidden="1" outlineLevel="1">
      <c r="B5763" s="76"/>
      <c r="C5763" s="9" t="str">
        <f>C5762</f>
        <v>Show</v>
      </c>
      <c r="D5763" s="23"/>
      <c r="E5763" s="13">
        <v>1.1000000000000001</v>
      </c>
      <c r="F5763" s="11" t="s">
        <v>118</v>
      </c>
      <c r="G5763" s="13"/>
    </row>
    <row r="5764" spans="2:8" hidden="1" outlineLevel="1">
      <c r="B5764" s="76"/>
      <c r="C5764" s="9" t="str">
        <f>C5763</f>
        <v>Show</v>
      </c>
      <c r="D5764" s="23"/>
      <c r="E5764" s="13"/>
      <c r="F5764" s="70" t="s">
        <v>119</v>
      </c>
      <c r="G5764" s="18" t="s">
        <v>677</v>
      </c>
    </row>
    <row r="5765" spans="2:8" hidden="1" outlineLevel="1">
      <c r="B5765" s="76"/>
      <c r="C5765" s="9" t="str">
        <f>C5764</f>
        <v>Show</v>
      </c>
      <c r="D5765" s="23"/>
      <c r="E5765" s="13"/>
      <c r="F5765" s="70"/>
      <c r="G5765" s="78" t="s">
        <v>121</v>
      </c>
      <c r="H5765" s="79" t="s">
        <v>2301</v>
      </c>
    </row>
    <row r="5766" spans="2:8" hidden="1" outlineLevel="1">
      <c r="B5766" s="76"/>
      <c r="C5766" s="9" t="str">
        <f>IF(COUNTIF(C5767:C5768,"Show")&gt;0,"Show","Hide")</f>
        <v>Show</v>
      </c>
      <c r="D5766" s="23"/>
      <c r="E5766" s="13">
        <v>1.2</v>
      </c>
      <c r="F5766" s="71" t="s">
        <v>131</v>
      </c>
      <c r="G5766" s="78"/>
    </row>
    <row r="5767" spans="2:8" hidden="1" outlineLevel="1">
      <c r="B5767" s="76"/>
      <c r="C5767" t="str">
        <f>$D$5962</f>
        <v>Show</v>
      </c>
      <c r="D5767" s="23"/>
      <c r="E5767" s="13"/>
      <c r="F5767" s="70" t="s">
        <v>119</v>
      </c>
      <c r="G5767" s="12" t="s">
        <v>3471</v>
      </c>
    </row>
    <row r="5768" spans="2:8" hidden="1" outlineLevel="1">
      <c r="B5768" s="76"/>
      <c r="C5768" s="9" t="str">
        <f>C5767</f>
        <v>Show</v>
      </c>
      <c r="D5768" s="23"/>
      <c r="E5768" s="13"/>
      <c r="F5768" s="70"/>
      <c r="G5768" s="78" t="s">
        <v>121</v>
      </c>
      <c r="H5768" s="75" t="s">
        <v>2868</v>
      </c>
    </row>
    <row r="5769" spans="2:8" hidden="1" outlineLevel="1">
      <c r="B5769" s="76"/>
      <c r="C5769" s="9" t="str">
        <f>C5762</f>
        <v>Show</v>
      </c>
      <c r="D5769" s="23" t="s">
        <v>613</v>
      </c>
      <c r="E5769" s="13"/>
      <c r="G5769" s="13"/>
    </row>
    <row r="5770" spans="2:8" hidden="1" outlineLevel="1">
      <c r="B5770" s="76"/>
      <c r="C5770" s="9" t="str">
        <f>C5762</f>
        <v>Show</v>
      </c>
      <c r="D5770" s="23"/>
      <c r="E5770" s="12" t="str">
        <f>IF(COUNTIF(C5771:C5772,"Show")&gt;0,"2.1 Product Requirements","No EGC Requirements")</f>
        <v>2.1 Product Requirements</v>
      </c>
      <c r="G5770" s="13"/>
    </row>
    <row r="5771" spans="2:8" hidden="1" outlineLevel="1">
      <c r="B5771" s="76"/>
      <c r="C5771" t="str">
        <f>$E$5962</f>
        <v>Show</v>
      </c>
      <c r="D5771" s="23"/>
      <c r="E5771" s="12"/>
      <c r="F5771" s="70" t="s">
        <v>119</v>
      </c>
      <c r="G5771" s="12" t="s">
        <v>3471</v>
      </c>
    </row>
    <row r="5772" spans="2:8" hidden="1" outlineLevel="1">
      <c r="B5772" s="76"/>
      <c r="C5772" s="9" t="str">
        <f>C5771</f>
        <v>Show</v>
      </c>
      <c r="D5772" s="23"/>
      <c r="E5772" s="12"/>
      <c r="G5772" s="78" t="s">
        <v>121</v>
      </c>
      <c r="H5772" s="75" t="s">
        <v>2936</v>
      </c>
    </row>
    <row r="5773" spans="2:8" hidden="1" outlineLevel="1">
      <c r="B5773" s="76"/>
      <c r="C5773" s="9" t="str">
        <f>C5762</f>
        <v>Show</v>
      </c>
      <c r="D5773" s="23" t="s">
        <v>187</v>
      </c>
      <c r="E5773" s="13"/>
      <c r="G5773" s="13"/>
    </row>
    <row r="5774" spans="2:8" hidden="1" outlineLevel="1">
      <c r="B5774" s="76"/>
      <c r="C5774" s="9" t="str">
        <f>C5762</f>
        <v>Show</v>
      </c>
      <c r="D5774" s="23"/>
      <c r="E5774" s="12" t="str">
        <f>IF(COUNTIF(C5775:C5776,"Show")&gt;0,"3.1 Execution Requirements","No EGC Requirements")</f>
        <v>3.1 Execution Requirements</v>
      </c>
      <c r="G5774" s="13"/>
    </row>
    <row r="5775" spans="2:8" hidden="1" outlineLevel="1">
      <c r="B5775" s="76"/>
      <c r="C5775" t="str">
        <f>$F$5962</f>
        <v>Show</v>
      </c>
      <c r="D5775" s="23"/>
      <c r="E5775" s="13"/>
      <c r="F5775" s="70" t="s">
        <v>119</v>
      </c>
      <c r="G5775" s="12" t="s">
        <v>3471</v>
      </c>
    </row>
    <row r="5776" spans="2:8" hidden="1" outlineLevel="1">
      <c r="B5776" s="76"/>
      <c r="C5776" s="9" t="str">
        <f>C5775</f>
        <v>Show</v>
      </c>
      <c r="D5776" s="23"/>
      <c r="E5776" s="13"/>
      <c r="G5776" s="78" t="s">
        <v>121</v>
      </c>
      <c r="H5776" s="75" t="s">
        <v>2875</v>
      </c>
    </row>
    <row r="5777" spans="2:8" hidden="1" outlineLevel="1">
      <c r="B5777" s="76"/>
      <c r="C5777" s="9" t="str">
        <f>C5762</f>
        <v>Show</v>
      </c>
    </row>
    <row r="5778" spans="2:8" collapsed="1">
      <c r="B5778" s="23"/>
      <c r="C5778" s="2" t="str">
        <f>C5779</f>
        <v>Show</v>
      </c>
      <c r="D5778" s="60" t="s">
        <v>1224</v>
      </c>
      <c r="E5778" s="60"/>
      <c r="F5778" s="56" t="s">
        <v>576</v>
      </c>
      <c r="G5778" s="59"/>
      <c r="H5778" s="58"/>
    </row>
    <row r="5779" spans="2:8" hidden="1" outlineLevel="1">
      <c r="B5779" s="12" t="s">
        <v>2697</v>
      </c>
      <c r="C5779" s="2" t="str">
        <f>IF((COUNTIF(C5783:C5787,"Show")+COUNTIF(C5792:C5795,"Show"))&gt;0,"Show","Hide")</f>
        <v>Show</v>
      </c>
      <c r="D5779" s="23" t="s">
        <v>117</v>
      </c>
      <c r="E5779" s="13"/>
      <c r="G5779" s="13"/>
    </row>
    <row r="5780" spans="2:8" hidden="1" outlineLevel="1">
      <c r="B5780" s="12" t="s">
        <v>2697</v>
      </c>
      <c r="C5780" s="9" t="str">
        <f>C5779</f>
        <v>Show</v>
      </c>
      <c r="D5780" s="23"/>
      <c r="E5780" s="13">
        <v>1.1000000000000001</v>
      </c>
      <c r="F5780" s="11" t="s">
        <v>118</v>
      </c>
      <c r="G5780" s="13"/>
    </row>
    <row r="5781" spans="2:8" hidden="1" outlineLevel="1">
      <c r="B5781" s="12" t="s">
        <v>2697</v>
      </c>
      <c r="C5781" s="9" t="str">
        <f>C5780</f>
        <v>Show</v>
      </c>
      <c r="D5781" s="23"/>
      <c r="E5781" s="13"/>
      <c r="F5781" s="70" t="s">
        <v>119</v>
      </c>
      <c r="G5781" s="18" t="s">
        <v>677</v>
      </c>
    </row>
    <row r="5782" spans="2:8" hidden="1" outlineLevel="1">
      <c r="B5782" s="12" t="s">
        <v>2697</v>
      </c>
      <c r="C5782" s="9" t="str">
        <f>C5781</f>
        <v>Show</v>
      </c>
      <c r="D5782" s="23"/>
      <c r="E5782" s="13"/>
      <c r="F5782" s="70"/>
      <c r="G5782" s="78" t="s">
        <v>121</v>
      </c>
      <c r="H5782" s="79" t="s">
        <v>2301</v>
      </c>
    </row>
    <row r="5783" spans="2:8" hidden="1" outlineLevel="1">
      <c r="B5783" s="12" t="s">
        <v>2697</v>
      </c>
      <c r="C5783" s="9" t="str">
        <f>IF(COUNTIF(C5784:C5787,"Show")&gt;0,"Show","Hide")</f>
        <v>Show</v>
      </c>
      <c r="D5783" s="23"/>
      <c r="E5783" s="13">
        <v>1.2</v>
      </c>
      <c r="F5783" s="71" t="s">
        <v>131</v>
      </c>
      <c r="G5783" s="78"/>
    </row>
    <row r="5784" spans="2:8" hidden="1" outlineLevel="1">
      <c r="B5784" s="12"/>
      <c r="C5784" t="str">
        <f>$D$5948</f>
        <v>Show</v>
      </c>
      <c r="D5784" s="23"/>
      <c r="E5784" s="13"/>
      <c r="F5784" s="70" t="s">
        <v>119</v>
      </c>
      <c r="G5784" s="12" t="s">
        <v>3474</v>
      </c>
    </row>
    <row r="5785" spans="2:8" hidden="1" outlineLevel="1">
      <c r="B5785" s="12"/>
      <c r="C5785" s="9" t="str">
        <f>C5784</f>
        <v>Show</v>
      </c>
      <c r="D5785" s="23"/>
      <c r="E5785" s="13"/>
      <c r="F5785" s="71"/>
      <c r="G5785" s="78" t="s">
        <v>121</v>
      </c>
      <c r="H5785" s="75" t="s">
        <v>2881</v>
      </c>
    </row>
    <row r="5786" spans="2:8" hidden="1" outlineLevel="1">
      <c r="B5786" s="12" t="s">
        <v>2697</v>
      </c>
      <c r="C5786" t="str">
        <f>$D$5951</f>
        <v>Show</v>
      </c>
      <c r="D5786" s="23"/>
      <c r="E5786" s="13"/>
      <c r="F5786" s="70" t="str">
        <f>CHAR(65+(COUNTIF(C$5784:C5785,"Show")/2))&amp;"."</f>
        <v>B.</v>
      </c>
      <c r="G5786" s="12" t="s">
        <v>3488</v>
      </c>
    </row>
    <row r="5787" spans="2:8" hidden="1" outlineLevel="1">
      <c r="B5787" s="12" t="s">
        <v>2697</v>
      </c>
      <c r="C5787" s="9" t="str">
        <f>C5786</f>
        <v>Show</v>
      </c>
      <c r="D5787" s="23"/>
      <c r="E5787" s="13"/>
      <c r="G5787" s="78" t="s">
        <v>121</v>
      </c>
      <c r="H5787" s="75" t="s">
        <v>2926</v>
      </c>
    </row>
    <row r="5788" spans="2:8" hidden="1" outlineLevel="1">
      <c r="B5788" s="12" t="s">
        <v>2697</v>
      </c>
      <c r="C5788" s="9" t="str">
        <f>C5779</f>
        <v>Show</v>
      </c>
      <c r="D5788" s="23" t="s">
        <v>613</v>
      </c>
      <c r="E5788" s="13"/>
      <c r="G5788" s="13"/>
    </row>
    <row r="5789" spans="2:8" hidden="1" outlineLevel="1">
      <c r="B5789" s="12" t="s">
        <v>2697</v>
      </c>
      <c r="C5789" s="9" t="str">
        <f>C5779</f>
        <v>Show</v>
      </c>
      <c r="D5789" s="23"/>
      <c r="E5789" s="12" t="s">
        <v>2703</v>
      </c>
      <c r="G5789" s="13"/>
    </row>
    <row r="5790" spans="2:8" hidden="1" outlineLevel="1">
      <c r="B5790" s="12" t="s">
        <v>2697</v>
      </c>
      <c r="C5790" s="9" t="str">
        <f>C5779</f>
        <v>Show</v>
      </c>
      <c r="D5790" s="23" t="s">
        <v>187</v>
      </c>
      <c r="E5790" s="13"/>
      <c r="G5790" s="13"/>
    </row>
    <row r="5791" spans="2:8" hidden="1" outlineLevel="1">
      <c r="B5791" s="12" t="s">
        <v>2697</v>
      </c>
      <c r="C5791" s="9" t="str">
        <f>C5779</f>
        <v>Show</v>
      </c>
      <c r="D5791" s="23"/>
      <c r="E5791" s="12" t="str">
        <f>IF(COUNTIF(C5792:C5795,"Show")&gt;0,"3.1 Execution Requirements","No EGC Requirements")</f>
        <v>3.1 Execution Requirements</v>
      </c>
      <c r="G5791" s="13"/>
    </row>
    <row r="5792" spans="2:8" hidden="1" outlineLevel="1">
      <c r="B5792" s="12"/>
      <c r="C5792" t="str">
        <f>$F$5948</f>
        <v>Show</v>
      </c>
      <c r="D5792" s="23"/>
      <c r="E5792" s="12"/>
      <c r="F5792" s="70" t="s">
        <v>119</v>
      </c>
      <c r="G5792" s="12" t="s">
        <v>3474</v>
      </c>
    </row>
    <row r="5793" spans="2:8" hidden="1" outlineLevel="1">
      <c r="B5793" s="12"/>
      <c r="C5793" s="9" t="str">
        <f>C5792</f>
        <v>Show</v>
      </c>
      <c r="D5793" s="23"/>
      <c r="E5793" s="12"/>
      <c r="G5793" s="78" t="s">
        <v>121</v>
      </c>
      <c r="H5793" s="75" t="s">
        <v>2883</v>
      </c>
    </row>
    <row r="5794" spans="2:8" hidden="1" outlineLevel="1">
      <c r="B5794" s="12"/>
      <c r="C5794" t="str">
        <f>$F$5951</f>
        <v>Show</v>
      </c>
      <c r="D5794" s="23"/>
      <c r="E5794" s="12"/>
      <c r="F5794" s="70" t="str">
        <f>CHAR(65+(COUNTIF(C$5792:C5793,"Show")/2))&amp;"."</f>
        <v>B.</v>
      </c>
      <c r="G5794" s="12" t="s">
        <v>3488</v>
      </c>
    </row>
    <row r="5795" spans="2:8" hidden="1" outlineLevel="1">
      <c r="B5795" s="12"/>
      <c r="C5795" t="str">
        <f>C5794</f>
        <v>Show</v>
      </c>
      <c r="D5795" s="23"/>
      <c r="E5795" s="12"/>
      <c r="G5795" s="78" t="s">
        <v>121</v>
      </c>
      <c r="H5795" s="75" t="s">
        <v>2925</v>
      </c>
    </row>
    <row r="5796" spans="2:8" hidden="1" outlineLevel="1">
      <c r="B5796" s="12" t="s">
        <v>2697</v>
      </c>
      <c r="C5796" s="9" t="str">
        <f>C5779</f>
        <v>Show</v>
      </c>
    </row>
    <row r="5797" spans="2:8" collapsed="1">
      <c r="B5797" s="76"/>
      <c r="C5797" s="7" t="s">
        <v>116</v>
      </c>
      <c r="D5797" s="80"/>
      <c r="E5797" s="132"/>
      <c r="F5797" s="12"/>
      <c r="G5797" s="69"/>
    </row>
    <row r="5798" spans="2:8">
      <c r="B5798" s="76" t="s">
        <v>2508</v>
      </c>
      <c r="C5798" s="26" t="str">
        <f>C5799</f>
        <v>Show</v>
      </c>
      <c r="D5798" s="38" t="s">
        <v>589</v>
      </c>
      <c r="E5798" s="47"/>
      <c r="F5798" s="46"/>
      <c r="G5798" s="39"/>
      <c r="H5798" s="41"/>
    </row>
    <row r="5799" spans="2:8">
      <c r="B5799" s="76" t="s">
        <v>2508</v>
      </c>
      <c r="C5799" s="9" t="str">
        <f>C5800</f>
        <v>Show</v>
      </c>
      <c r="D5799" s="52" t="s">
        <v>590</v>
      </c>
      <c r="E5799" s="62"/>
      <c r="F5799" s="52" t="s">
        <v>591</v>
      </c>
      <c r="G5799" s="59"/>
      <c r="H5799" s="54"/>
    </row>
    <row r="5800" spans="2:8" hidden="1" outlineLevel="1">
      <c r="B5800" s="12" t="s">
        <v>2697</v>
      </c>
      <c r="C5800" s="2" t="str">
        <f>IF((COUNTIF(C5804:C5806,"Show")+COUNTIF(C5809:C5810,"Show")+COUNTIF(C5813:C5814,"Show"))&gt;0,"Show","Hide")</f>
        <v>Show</v>
      </c>
      <c r="D5800" s="23" t="s">
        <v>117</v>
      </c>
      <c r="E5800" s="13"/>
      <c r="G5800" s="13"/>
    </row>
    <row r="5801" spans="2:8" hidden="1" outlineLevel="1">
      <c r="B5801" s="12" t="s">
        <v>2697</v>
      </c>
      <c r="C5801" s="9" t="str">
        <f>C5800</f>
        <v>Show</v>
      </c>
      <c r="D5801" s="23"/>
      <c r="E5801" s="13">
        <v>1.1000000000000001</v>
      </c>
      <c r="F5801" s="11" t="s">
        <v>118</v>
      </c>
      <c r="G5801" s="13"/>
    </row>
    <row r="5802" spans="2:8" hidden="1" outlineLevel="1">
      <c r="B5802" s="12" t="s">
        <v>2697</v>
      </c>
      <c r="C5802" s="9" t="str">
        <f>C5801</f>
        <v>Show</v>
      </c>
      <c r="D5802" s="23"/>
      <c r="E5802" s="13"/>
      <c r="F5802" s="70" t="s">
        <v>119</v>
      </c>
      <c r="G5802" s="18" t="s">
        <v>677</v>
      </c>
    </row>
    <row r="5803" spans="2:8" hidden="1" outlineLevel="1">
      <c r="B5803" s="12" t="s">
        <v>2697</v>
      </c>
      <c r="C5803" s="9" t="str">
        <f>C5802</f>
        <v>Show</v>
      </c>
      <c r="D5803" s="23"/>
      <c r="E5803" s="13"/>
      <c r="F5803" s="70"/>
      <c r="G5803" s="78" t="s">
        <v>121</v>
      </c>
      <c r="H5803" s="79" t="s">
        <v>2301</v>
      </c>
    </row>
    <row r="5804" spans="2:8" hidden="1" outlineLevel="1">
      <c r="B5804" s="12" t="s">
        <v>2697</v>
      </c>
      <c r="C5804" s="9" t="str">
        <f>IF(COUNTIF(C5805:C5806,"Show")&gt;0,"Show","Hide")</f>
        <v>Show</v>
      </c>
      <c r="D5804" s="23"/>
      <c r="E5804" s="13">
        <v>1.2</v>
      </c>
      <c r="F5804" s="71" t="s">
        <v>131</v>
      </c>
      <c r="G5804" s="78"/>
    </row>
    <row r="5805" spans="2:8" hidden="1" outlineLevel="1">
      <c r="B5805" s="12" t="s">
        <v>2697</v>
      </c>
      <c r="C5805" t="str">
        <f>$D$5951</f>
        <v>Show</v>
      </c>
      <c r="D5805" s="23"/>
      <c r="E5805" s="13"/>
      <c r="F5805" s="70" t="s">
        <v>119</v>
      </c>
      <c r="G5805" s="12" t="s">
        <v>3488</v>
      </c>
    </row>
    <row r="5806" spans="2:8" hidden="1" outlineLevel="1">
      <c r="B5806" s="12" t="s">
        <v>2697</v>
      </c>
      <c r="C5806" s="9" t="str">
        <f>C5805</f>
        <v>Show</v>
      </c>
      <c r="D5806" s="23"/>
      <c r="E5806" s="13"/>
      <c r="G5806" s="78" t="s">
        <v>121</v>
      </c>
      <c r="H5806" s="75" t="s">
        <v>2926</v>
      </c>
    </row>
    <row r="5807" spans="2:8" hidden="1" outlineLevel="1">
      <c r="B5807" s="12" t="s">
        <v>2697</v>
      </c>
      <c r="C5807" s="9" t="str">
        <f>C5800</f>
        <v>Show</v>
      </c>
      <c r="D5807" s="23" t="s">
        <v>613</v>
      </c>
      <c r="E5807" s="13"/>
      <c r="G5807" s="13"/>
    </row>
    <row r="5808" spans="2:8" hidden="1" outlineLevel="1">
      <c r="B5808" s="12" t="s">
        <v>2697</v>
      </c>
      <c r="C5808" s="9" t="str">
        <f>C5800</f>
        <v>Show</v>
      </c>
      <c r="D5808" s="23"/>
      <c r="E5808" s="12" t="str">
        <f>IF(COUNTIF(C5809:C5810,"Show")&gt;0,"2.1 Product Requirements","No EGC Requirements")</f>
        <v>2.1 Product Requirements</v>
      </c>
      <c r="G5808" s="13"/>
    </row>
    <row r="5809" spans="2:8" hidden="1" outlineLevel="1">
      <c r="B5809" s="12" t="s">
        <v>2697</v>
      </c>
      <c r="C5809" t="str">
        <f>$E$5951</f>
        <v>Show</v>
      </c>
      <c r="D5809" s="23"/>
      <c r="E5809" s="12"/>
      <c r="F5809" s="70" t="s">
        <v>119</v>
      </c>
      <c r="G5809" s="12" t="s">
        <v>3435</v>
      </c>
      <c r="H5809" s="69" t="s">
        <v>3488</v>
      </c>
    </row>
    <row r="5810" spans="2:8" hidden="1" outlineLevel="1">
      <c r="B5810" s="12" t="s">
        <v>2697</v>
      </c>
      <c r="C5810" s="9" t="str">
        <f>C5809</f>
        <v>Show</v>
      </c>
      <c r="D5810" s="23"/>
      <c r="E5810" s="12"/>
      <c r="F5810" s="70"/>
      <c r="G5810" s="30" t="s">
        <v>121</v>
      </c>
      <c r="H5810" s="75" t="s">
        <v>2928</v>
      </c>
    </row>
    <row r="5811" spans="2:8" hidden="1" outlineLevel="1">
      <c r="B5811" s="12" t="s">
        <v>2697</v>
      </c>
      <c r="C5811" s="9" t="str">
        <f>C5800</f>
        <v>Show</v>
      </c>
      <c r="D5811" s="23" t="s">
        <v>187</v>
      </c>
      <c r="E5811" s="13"/>
      <c r="G5811" s="13"/>
    </row>
    <row r="5812" spans="2:8" hidden="1" outlineLevel="1">
      <c r="B5812" s="12" t="s">
        <v>2697</v>
      </c>
      <c r="C5812" s="9" t="str">
        <f>C5800</f>
        <v>Show</v>
      </c>
      <c r="D5812" s="23"/>
      <c r="E5812" s="12" t="str">
        <f>IF(COUNTIF(C5813:C5814,"Show")&gt;0,"3.1 Execution Requirements","No EGC Requirements")</f>
        <v>3.1 Execution Requirements</v>
      </c>
      <c r="G5812" s="13"/>
    </row>
    <row r="5813" spans="2:8" hidden="1" outlineLevel="1">
      <c r="B5813" s="12"/>
      <c r="C5813" t="str">
        <f>$F$5951</f>
        <v>Show</v>
      </c>
      <c r="D5813" s="23"/>
      <c r="E5813" s="12"/>
      <c r="F5813" s="70" t="s">
        <v>119</v>
      </c>
      <c r="G5813" s="12" t="s">
        <v>3488</v>
      </c>
    </row>
    <row r="5814" spans="2:8" hidden="1" outlineLevel="1">
      <c r="B5814" s="12"/>
      <c r="C5814" t="str">
        <f>C5813</f>
        <v>Show</v>
      </c>
      <c r="D5814" s="23"/>
      <c r="E5814" s="12"/>
      <c r="G5814" s="78" t="s">
        <v>121</v>
      </c>
      <c r="H5814" s="75" t="s">
        <v>2925</v>
      </c>
    </row>
    <row r="5815" spans="2:8" hidden="1" outlineLevel="1">
      <c r="B5815" s="12" t="s">
        <v>2697</v>
      </c>
      <c r="C5815" s="9" t="str">
        <f>C5800</f>
        <v>Show</v>
      </c>
    </row>
    <row r="5816" spans="2:8" collapsed="1">
      <c r="B5816" s="76" t="s">
        <v>2508</v>
      </c>
      <c r="C5816" s="9" t="str">
        <f>C5798</f>
        <v>Show</v>
      </c>
    </row>
    <row r="5817" spans="2:8">
      <c r="B5817" s="76" t="s">
        <v>2509</v>
      </c>
      <c r="C5817" s="9" t="str">
        <f>C5818</f>
        <v>Show</v>
      </c>
      <c r="D5817" s="38" t="s">
        <v>1755</v>
      </c>
      <c r="E5817" s="43"/>
      <c r="F5817" s="43"/>
      <c r="G5817" s="43"/>
      <c r="H5817" s="41"/>
    </row>
    <row r="5818" spans="2:8">
      <c r="B5818" s="76" t="s">
        <v>2509</v>
      </c>
      <c r="C5818" s="9" t="str">
        <f>C5819</f>
        <v>Show</v>
      </c>
      <c r="D5818" s="55" t="s">
        <v>1748</v>
      </c>
      <c r="E5818" s="55"/>
      <c r="F5818" s="57" t="s">
        <v>1747</v>
      </c>
      <c r="G5818" s="35"/>
      <c r="H5818" s="54"/>
    </row>
    <row r="5819" spans="2:8" hidden="1" outlineLevel="1">
      <c r="B5819" s="76"/>
      <c r="C5819" s="13" t="str">
        <f>IF((COUNTIF(C5823:C5827,"Show")+COUNTIF(C5830:C5833,"Show")+COUNTIF(C5836:C5837,"Show"))&gt;0,"Show","Hide")</f>
        <v>Show</v>
      </c>
      <c r="D5819" s="23" t="s">
        <v>117</v>
      </c>
      <c r="E5819" s="13"/>
      <c r="G5819" s="13"/>
    </row>
    <row r="5820" spans="2:8" hidden="1" outlineLevel="1">
      <c r="B5820" s="76"/>
      <c r="C5820" s="13" t="str">
        <f>C5819</f>
        <v>Show</v>
      </c>
      <c r="D5820" s="23"/>
      <c r="E5820" s="13">
        <v>1.1000000000000001</v>
      </c>
      <c r="F5820" s="11" t="s">
        <v>118</v>
      </c>
      <c r="G5820" s="13"/>
    </row>
    <row r="5821" spans="2:8" hidden="1" outlineLevel="1">
      <c r="B5821" s="76"/>
      <c r="C5821" s="13" t="str">
        <f>C5820</f>
        <v>Show</v>
      </c>
      <c r="D5821" s="23"/>
      <c r="E5821" s="13"/>
      <c r="F5821" s="70" t="s">
        <v>119</v>
      </c>
      <c r="G5821" s="18" t="s">
        <v>677</v>
      </c>
    </row>
    <row r="5822" spans="2:8" hidden="1" outlineLevel="1">
      <c r="B5822" s="76"/>
      <c r="C5822" s="13" t="str">
        <f>C5821</f>
        <v>Show</v>
      </c>
      <c r="D5822" s="23"/>
      <c r="E5822" s="13"/>
      <c r="F5822" s="70"/>
      <c r="G5822" s="78" t="s">
        <v>121</v>
      </c>
      <c r="H5822" s="79" t="s">
        <v>2301</v>
      </c>
    </row>
    <row r="5823" spans="2:8" hidden="1" outlineLevel="1">
      <c r="B5823" s="76"/>
      <c r="C5823" s="13" t="str">
        <f>IF(COUNTIF(C5824:C5827,"Show")&gt;0,"Show","Hide")</f>
        <v>Show</v>
      </c>
      <c r="D5823" s="23"/>
      <c r="E5823" s="13">
        <v>1.2</v>
      </c>
      <c r="F5823" s="71" t="s">
        <v>131</v>
      </c>
      <c r="G5823" s="78"/>
    </row>
    <row r="5824" spans="2:8" hidden="1" outlineLevel="1">
      <c r="B5824" s="76"/>
      <c r="C5824" s="11" t="str">
        <f>$D$5990</f>
        <v>Show</v>
      </c>
      <c r="D5824" s="23"/>
      <c r="E5824" s="13"/>
      <c r="F5824" s="70" t="s">
        <v>119</v>
      </c>
      <c r="G5824" s="12" t="s">
        <v>3454</v>
      </c>
    </row>
    <row r="5825" spans="2:8" hidden="1" outlineLevel="1">
      <c r="B5825" s="76"/>
      <c r="C5825" s="13" t="str">
        <f>C5824</f>
        <v>Show</v>
      </c>
      <c r="D5825" s="23"/>
      <c r="E5825" s="13"/>
      <c r="F5825" s="70"/>
      <c r="G5825" s="78" t="s">
        <v>121</v>
      </c>
      <c r="H5825" s="75" t="s">
        <v>2797</v>
      </c>
    </row>
    <row r="5826" spans="2:8" hidden="1" outlineLevel="1">
      <c r="B5826" s="76"/>
      <c r="C5826" s="11" t="str">
        <f>$D$5991</f>
        <v>Show</v>
      </c>
      <c r="D5826" s="23"/>
      <c r="E5826" s="13"/>
      <c r="F5826" s="70" t="str">
        <f>CHAR(65+(COUNTIF(C$5824:C5825,"Show")/2))&amp;"."</f>
        <v>B.</v>
      </c>
      <c r="G5826" s="12" t="s">
        <v>3455</v>
      </c>
    </row>
    <row r="5827" spans="2:8" hidden="1" outlineLevel="1">
      <c r="B5827" s="76"/>
      <c r="C5827" s="13" t="str">
        <f>C5826</f>
        <v>Show</v>
      </c>
      <c r="D5827" s="23"/>
      <c r="E5827" s="13"/>
      <c r="F5827" s="70"/>
      <c r="G5827" s="78" t="s">
        <v>121</v>
      </c>
      <c r="H5827" s="75" t="s">
        <v>2798</v>
      </c>
    </row>
    <row r="5828" spans="2:8" hidden="1" outlineLevel="1">
      <c r="B5828" s="76"/>
      <c r="C5828" s="13" t="str">
        <f>C5819</f>
        <v>Show</v>
      </c>
      <c r="D5828" s="23" t="s">
        <v>613</v>
      </c>
      <c r="E5828" s="13"/>
      <c r="G5828" s="13"/>
    </row>
    <row r="5829" spans="2:8" hidden="1" outlineLevel="1">
      <c r="B5829" s="76"/>
      <c r="C5829" s="13" t="str">
        <f>C5819</f>
        <v>Show</v>
      </c>
      <c r="D5829" s="23"/>
      <c r="E5829" s="12" t="str">
        <f>IF(COUNTIF(C5830:C5833,"Show")&gt;0,"2.1 Product Requirements","No EGC Requirements")</f>
        <v>2.1 Product Requirements</v>
      </c>
      <c r="G5829" s="13"/>
    </row>
    <row r="5830" spans="2:8" hidden="1" outlineLevel="1">
      <c r="B5830" s="76"/>
      <c r="C5830" s="11" t="str">
        <f>$E$5990</f>
        <v>Show</v>
      </c>
      <c r="D5830" s="23"/>
      <c r="E5830" s="12"/>
      <c r="F5830" s="70" t="s">
        <v>119</v>
      </c>
      <c r="G5830" s="12" t="s">
        <v>3454</v>
      </c>
    </row>
    <row r="5831" spans="2:8" hidden="1" outlineLevel="1">
      <c r="B5831" s="76"/>
      <c r="C5831" s="13" t="str">
        <f>C5830</f>
        <v>Show</v>
      </c>
      <c r="D5831" s="23"/>
      <c r="E5831" s="12"/>
      <c r="G5831" s="30" t="s">
        <v>121</v>
      </c>
      <c r="H5831" s="75" t="s">
        <v>2794</v>
      </c>
    </row>
    <row r="5832" spans="2:8" hidden="1" outlineLevel="1">
      <c r="B5832" s="76"/>
      <c r="C5832" s="11" t="str">
        <f>$E$5991</f>
        <v>Show</v>
      </c>
      <c r="D5832" s="23"/>
      <c r="E5832" s="12"/>
      <c r="F5832" s="70" t="str">
        <f>CHAR(65+(COUNTIF(C$5830:C5831,"Show")/2))&amp;"."</f>
        <v>B.</v>
      </c>
      <c r="G5832" s="12" t="s">
        <v>3455</v>
      </c>
    </row>
    <row r="5833" spans="2:8" hidden="1" outlineLevel="1">
      <c r="B5833" s="76"/>
      <c r="C5833" s="13" t="str">
        <f>C5832</f>
        <v>Show</v>
      </c>
      <c r="D5833" s="23"/>
      <c r="E5833" s="12"/>
      <c r="G5833" s="30" t="s">
        <v>121</v>
      </c>
      <c r="H5833" s="75" t="s">
        <v>2795</v>
      </c>
    </row>
    <row r="5834" spans="2:8" hidden="1" outlineLevel="1">
      <c r="B5834" s="76"/>
      <c r="C5834" s="13" t="str">
        <f>C5819</f>
        <v>Show</v>
      </c>
      <c r="D5834" s="23" t="s">
        <v>187</v>
      </c>
      <c r="E5834" s="13"/>
      <c r="G5834" s="13"/>
    </row>
    <row r="5835" spans="2:8" hidden="1" outlineLevel="1">
      <c r="B5835" s="76"/>
      <c r="C5835" s="13" t="str">
        <f>C5819</f>
        <v>Show</v>
      </c>
      <c r="D5835" s="23"/>
      <c r="E5835" s="12" t="str">
        <f>IF(COUNTIF(C5836:C5837,"Show")&gt;0,"3.1 Execution Requirements","No EGC Requirements")</f>
        <v>3.1 Execution Requirements</v>
      </c>
      <c r="G5835" s="13"/>
    </row>
    <row r="5836" spans="2:8" hidden="1" outlineLevel="1">
      <c r="B5836" s="76"/>
      <c r="C5836" s="11" t="str">
        <f>$F$5991</f>
        <v>Show</v>
      </c>
      <c r="D5836" s="23"/>
      <c r="E5836" s="13"/>
      <c r="F5836" s="70" t="s">
        <v>119</v>
      </c>
      <c r="G5836" s="12" t="s">
        <v>3455</v>
      </c>
    </row>
    <row r="5837" spans="2:8" ht="30" hidden="1" outlineLevel="1">
      <c r="B5837" s="76"/>
      <c r="C5837" s="13" t="str">
        <f>C5836</f>
        <v>Show</v>
      </c>
      <c r="D5837" s="23"/>
      <c r="E5837" s="13"/>
      <c r="G5837" s="78" t="s">
        <v>121</v>
      </c>
      <c r="H5837" s="75" t="s">
        <v>2796</v>
      </c>
    </row>
    <row r="5838" spans="2:8" hidden="1" outlineLevel="1">
      <c r="B5838" s="76"/>
      <c r="C5838" s="13" t="str">
        <f>C5819</f>
        <v>Show</v>
      </c>
    </row>
    <row r="5839" spans="2:8" collapsed="1">
      <c r="B5839" s="76"/>
      <c r="C5839" s="9" t="str">
        <f>C5819</f>
        <v>Show</v>
      </c>
    </row>
    <row r="5840" spans="2:8">
      <c r="B5840" s="77"/>
    </row>
    <row r="5841" spans="2:8">
      <c r="B5841" s="77"/>
      <c r="C5841" s="136" t="s">
        <v>2938</v>
      </c>
    </row>
    <row r="5842" spans="2:8" hidden="1">
      <c r="B5842" s="77"/>
      <c r="C5842" s="2"/>
      <c r="D5842"/>
      <c r="E5842"/>
      <c r="F5842"/>
      <c r="G5842"/>
      <c r="H5842" s="8"/>
    </row>
    <row r="5843" spans="2:8" hidden="1">
      <c r="B5843" s="77"/>
      <c r="C5843" s="2"/>
      <c r="D5843"/>
      <c r="E5843"/>
      <c r="F5843"/>
      <c r="G5843"/>
      <c r="H5843" s="8"/>
    </row>
    <row r="5844" spans="2:8" hidden="1">
      <c r="B5844" s="76"/>
      <c r="C5844" s="9"/>
      <c r="D5844" s="48" t="s">
        <v>2394</v>
      </c>
      <c r="E5844" s="49"/>
      <c r="F5844" s="49"/>
      <c r="G5844" s="49"/>
      <c r="H5844" s="50"/>
    </row>
    <row r="5845" spans="2:8" hidden="1">
      <c r="B5845" s="76"/>
      <c r="C5845" s="2" t="str">
        <f>IF((COUNTIF(C5849:C5851,"Show")+COUNTIF(C5854:C5855,"Show")+COUNTIF(C5858:C5859,"Show"))&gt;0,"Show","Hide")</f>
        <v>Hide</v>
      </c>
      <c r="D5845" s="15" t="s">
        <v>117</v>
      </c>
      <c r="E5845" s="2"/>
      <c r="F5845"/>
      <c r="G5845" s="2"/>
      <c r="H5845" s="8"/>
    </row>
    <row r="5846" spans="2:8" hidden="1">
      <c r="B5846" s="76"/>
      <c r="C5846" s="9" t="str">
        <f>C5845</f>
        <v>Hide</v>
      </c>
      <c r="D5846" s="15"/>
      <c r="E5846" s="2">
        <v>1.1000000000000001</v>
      </c>
      <c r="F5846" t="s">
        <v>118</v>
      </c>
      <c r="G5846" s="2"/>
      <c r="H5846" s="8"/>
    </row>
    <row r="5847" spans="2:8" hidden="1">
      <c r="B5847" s="76"/>
      <c r="C5847" s="9" t="str">
        <f>C5846</f>
        <v>Hide</v>
      </c>
      <c r="D5847" s="15"/>
      <c r="E5847" s="2"/>
      <c r="F5847" s="4" t="s">
        <v>119</v>
      </c>
      <c r="G5847" s="6" t="s">
        <v>677</v>
      </c>
      <c r="H5847" s="8"/>
    </row>
    <row r="5848" spans="2:8" hidden="1">
      <c r="B5848" s="76"/>
      <c r="C5848" s="9" t="str">
        <f>C5847</f>
        <v>Hide</v>
      </c>
      <c r="D5848" s="15"/>
      <c r="E5848" s="2"/>
      <c r="F5848" s="4"/>
      <c r="G5848" s="3" t="s">
        <v>121</v>
      </c>
      <c r="H5848" s="29" t="s">
        <v>2301</v>
      </c>
    </row>
    <row r="5849" spans="2:8" hidden="1">
      <c r="B5849" s="76"/>
      <c r="C5849" s="9" t="str">
        <f>IF(COUNTIF(C5850:C5851,"Show")&gt;0,"Show","Hide")</f>
        <v>Hide</v>
      </c>
      <c r="D5849" s="15"/>
      <c r="E5849" s="2">
        <v>1.2</v>
      </c>
      <c r="F5849" s="5" t="s">
        <v>131</v>
      </c>
      <c r="G5849" s="3"/>
      <c r="H5849" s="8"/>
    </row>
    <row r="5850" spans="2:8" hidden="1">
      <c r="B5850" s="76"/>
      <c r="C5850" s="9"/>
      <c r="D5850" s="15"/>
      <c r="E5850" s="2"/>
      <c r="F5850" s="4" t="s">
        <v>119</v>
      </c>
      <c r="G5850" s="1" t="s">
        <v>3492</v>
      </c>
      <c r="H5850" s="8"/>
    </row>
    <row r="5851" spans="2:8" hidden="1">
      <c r="B5851" s="76"/>
      <c r="C5851" s="9">
        <f>C5850</f>
        <v>0</v>
      </c>
      <c r="D5851" s="15"/>
      <c r="E5851" s="2"/>
      <c r="F5851" s="4"/>
      <c r="G5851" s="3" t="s">
        <v>121</v>
      </c>
      <c r="H5851" s="8" t="s">
        <v>2390</v>
      </c>
    </row>
    <row r="5852" spans="2:8" hidden="1">
      <c r="B5852" s="76"/>
      <c r="C5852" s="9" t="str">
        <f>C5845</f>
        <v>Hide</v>
      </c>
      <c r="D5852" s="15" t="s">
        <v>613</v>
      </c>
      <c r="E5852" s="2"/>
      <c r="F5852"/>
      <c r="G5852" s="2"/>
      <c r="H5852" s="8"/>
    </row>
    <row r="5853" spans="2:8" hidden="1">
      <c r="B5853" s="76"/>
      <c r="C5853" s="9" t="str">
        <f>C5845</f>
        <v>Hide</v>
      </c>
      <c r="D5853" s="15"/>
      <c r="E5853" s="1" t="str">
        <f>IF(COUNTIF(C5854:C5855,"Show")&gt;0,"2.1 Product Requirements","No EGC Requirements")</f>
        <v>No EGC Requirements</v>
      </c>
      <c r="F5853"/>
      <c r="G5853" s="2"/>
      <c r="H5853" s="8"/>
    </row>
    <row r="5854" spans="2:8" hidden="1">
      <c r="B5854" s="76"/>
      <c r="C5854" s="9"/>
      <c r="D5854" s="15"/>
      <c r="E5854" s="1"/>
      <c r="F5854" s="4" t="s">
        <v>119</v>
      </c>
      <c r="G5854" s="1" t="s">
        <v>3492</v>
      </c>
      <c r="H5854" s="8"/>
    </row>
    <row r="5855" spans="2:8" hidden="1">
      <c r="B5855" s="76"/>
      <c r="C5855" s="9">
        <f>C5854</f>
        <v>0</v>
      </c>
      <c r="D5855" s="15"/>
      <c r="E5855" s="1"/>
      <c r="F5855"/>
      <c r="G5855" s="24" t="s">
        <v>121</v>
      </c>
      <c r="H5855" s="8" t="s">
        <v>2391</v>
      </c>
    </row>
    <row r="5856" spans="2:8" hidden="1">
      <c r="B5856" s="76"/>
      <c r="C5856" s="9" t="str">
        <f>C5845</f>
        <v>Hide</v>
      </c>
      <c r="D5856" s="15" t="s">
        <v>187</v>
      </c>
      <c r="E5856" s="2"/>
      <c r="F5856"/>
      <c r="G5856" s="2"/>
      <c r="H5856" s="8"/>
    </row>
    <row r="5857" spans="2:8" hidden="1">
      <c r="B5857" s="76"/>
      <c r="C5857" s="9" t="str">
        <f>C5845</f>
        <v>Hide</v>
      </c>
      <c r="D5857" s="15"/>
      <c r="E5857" s="1" t="str">
        <f>IF(COUNTIF(C5858:C5859,"Show")&gt;0,"3.1 Execution Requirements","No EGC Requirements")</f>
        <v>No EGC Requirements</v>
      </c>
      <c r="F5857"/>
      <c r="G5857" s="2"/>
      <c r="H5857" s="8"/>
    </row>
    <row r="5858" spans="2:8" hidden="1">
      <c r="B5858" s="76"/>
      <c r="C5858" s="9"/>
      <c r="D5858" s="15"/>
      <c r="E5858" s="2"/>
      <c r="F5858" s="4" t="s">
        <v>119</v>
      </c>
      <c r="G5858" s="1" t="s">
        <v>3492</v>
      </c>
      <c r="H5858" s="8"/>
    </row>
    <row r="5859" spans="2:8" hidden="1">
      <c r="B5859" s="76"/>
      <c r="C5859" s="9">
        <f>C5858</f>
        <v>0</v>
      </c>
      <c r="D5859" s="15"/>
      <c r="E5859" s="2"/>
      <c r="F5859"/>
      <c r="G5859" s="3" t="s">
        <v>121</v>
      </c>
      <c r="H5859" s="8" t="s">
        <v>2392</v>
      </c>
    </row>
    <row r="5860" spans="2:8" hidden="1">
      <c r="B5860" s="76"/>
      <c r="C5860" s="9" t="str">
        <f>C5845</f>
        <v>Hide</v>
      </c>
      <c r="D5860"/>
      <c r="E5860"/>
      <c r="F5860"/>
      <c r="G5860"/>
      <c r="H5860" s="8"/>
    </row>
    <row r="5861" spans="2:8" hidden="1">
      <c r="C5861" s="2"/>
      <c r="D5861"/>
      <c r="E5861"/>
      <c r="F5861"/>
      <c r="G5861"/>
      <c r="H5861" s="8"/>
    </row>
    <row r="5862" spans="2:8" hidden="1">
      <c r="C5862" s="66" t="s">
        <v>2937</v>
      </c>
      <c r="D5862" s="49"/>
      <c r="E5862" s="49"/>
      <c r="F5862" s="49"/>
      <c r="G5862" s="49"/>
      <c r="H5862" s="50"/>
    </row>
    <row r="5863" spans="2:8" hidden="1">
      <c r="C5863" s="2"/>
      <c r="D5863" t="s">
        <v>99</v>
      </c>
      <c r="E5863" t="s">
        <v>160</v>
      </c>
      <c r="F5863" t="s">
        <v>96</v>
      </c>
      <c r="G5863"/>
      <c r="H5863" s="8"/>
    </row>
    <row r="5864" spans="2:8" hidden="1">
      <c r="C5864" s="2">
        <v>2.1</v>
      </c>
      <c r="D5864" t="str">
        <f>$D$5935</f>
        <v>Show</v>
      </c>
      <c r="E5864" s="65"/>
      <c r="F5864" s="65"/>
      <c r="G5864"/>
      <c r="H5864" s="8"/>
    </row>
    <row r="5865" spans="2:8" hidden="1">
      <c r="C5865" s="2">
        <f>C5864+0.1</f>
        <v>2.2000000000000002</v>
      </c>
      <c r="D5865" s="65"/>
      <c r="E5865" s="65"/>
      <c r="F5865" t="str">
        <f>$F$5936</f>
        <v>Show</v>
      </c>
      <c r="G5865"/>
      <c r="H5865" s="8"/>
    </row>
    <row r="5866" spans="2:8" hidden="1">
      <c r="C5866" s="2">
        <f t="shared" ref="C5866:C5871" si="24">C5865+0.1</f>
        <v>2.3000000000000003</v>
      </c>
      <c r="D5866" s="65"/>
      <c r="E5866" s="65"/>
      <c r="F5866" s="65"/>
      <c r="G5866"/>
      <c r="H5866" s="8"/>
    </row>
    <row r="5867" spans="2:8" hidden="1">
      <c r="C5867" s="2">
        <f t="shared" si="24"/>
        <v>2.4000000000000004</v>
      </c>
      <c r="D5867" s="65"/>
      <c r="E5867" s="65"/>
      <c r="F5867" s="65"/>
      <c r="G5867"/>
      <c r="H5867" s="8"/>
    </row>
    <row r="5868" spans="2:8" hidden="1">
      <c r="C5868" s="2">
        <f t="shared" si="24"/>
        <v>2.5000000000000004</v>
      </c>
      <c r="D5868" s="65"/>
      <c r="E5868" s="65"/>
      <c r="F5868" t="str">
        <f>$F$5939</f>
        <v>Show</v>
      </c>
      <c r="G5868"/>
      <c r="H5868" s="8"/>
    </row>
    <row r="5869" spans="2:8" hidden="1">
      <c r="C5869" s="2">
        <f t="shared" si="24"/>
        <v>2.6000000000000005</v>
      </c>
      <c r="D5869" t="str">
        <f>$D$5940</f>
        <v>Show</v>
      </c>
      <c r="E5869" s="65"/>
      <c r="F5869" t="str">
        <f>$F$5940</f>
        <v>Show</v>
      </c>
      <c r="G5869"/>
      <c r="H5869" s="8"/>
    </row>
    <row r="5870" spans="2:8" hidden="1">
      <c r="C5870" s="2">
        <f>C5869+0.1</f>
        <v>2.7000000000000006</v>
      </c>
      <c r="D5870" s="65"/>
      <c r="E5870" s="65"/>
      <c r="F5870" s="65"/>
      <c r="G5870"/>
      <c r="H5870" s="8"/>
    </row>
    <row r="5871" spans="2:8" hidden="1">
      <c r="C5871" s="2">
        <f t="shared" si="24"/>
        <v>2.8000000000000007</v>
      </c>
      <c r="D5871" s="65"/>
      <c r="E5871" s="65"/>
      <c r="F5871" s="65"/>
      <c r="G5871"/>
      <c r="H5871" s="8"/>
    </row>
    <row r="5872" spans="2:8" hidden="1">
      <c r="C5872" s="2">
        <f>C5871+0.1</f>
        <v>2.9000000000000008</v>
      </c>
      <c r="D5872" s="65"/>
      <c r="E5872" s="65"/>
      <c r="F5872" t="str">
        <f>$F$5943</f>
        <v>Show</v>
      </c>
      <c r="G5872"/>
      <c r="H5872" s="8"/>
    </row>
    <row r="5873" spans="3:8" hidden="1">
      <c r="C5873" s="64" t="s">
        <v>2775</v>
      </c>
      <c r="D5873" s="65"/>
      <c r="E5873" s="65"/>
      <c r="F5873" t="str">
        <f>$F$5944</f>
        <v>Show</v>
      </c>
      <c r="G5873"/>
      <c r="H5873" s="8"/>
    </row>
    <row r="5874" spans="3:8" hidden="1">
      <c r="C5874" s="2">
        <v>3.1</v>
      </c>
      <c r="D5874" t="str">
        <f>$D$5945</f>
        <v>Show</v>
      </c>
      <c r="E5874" s="65"/>
      <c r="F5874" t="str">
        <f>$F$5945</f>
        <v>Show</v>
      </c>
      <c r="G5874"/>
      <c r="H5874" s="8"/>
    </row>
    <row r="5875" spans="3:8" hidden="1">
      <c r="C5875" s="2">
        <f>C5874+0.1</f>
        <v>3.2</v>
      </c>
      <c r="D5875" t="str">
        <f>$D$5946</f>
        <v>Show</v>
      </c>
      <c r="E5875" t="str">
        <f>$E$5946</f>
        <v>Show</v>
      </c>
      <c r="F5875" t="str">
        <f>$F$5946</f>
        <v>Show</v>
      </c>
      <c r="G5875"/>
      <c r="H5875" s="8"/>
    </row>
    <row r="5876" spans="3:8" hidden="1">
      <c r="C5876" s="2">
        <f t="shared" ref="C5876:C5882" si="25">C5875+0.1</f>
        <v>3.3000000000000003</v>
      </c>
      <c r="D5876" t="str">
        <f>$D$5947</f>
        <v>Show</v>
      </c>
      <c r="E5876" t="str">
        <f>$E$5947</f>
        <v>Show</v>
      </c>
      <c r="F5876" t="str">
        <f>$F$5947</f>
        <v>Show</v>
      </c>
      <c r="G5876"/>
      <c r="H5876" s="8"/>
    </row>
    <row r="5877" spans="3:8" hidden="1">
      <c r="C5877" s="2">
        <f t="shared" si="25"/>
        <v>3.4000000000000004</v>
      </c>
      <c r="D5877" t="str">
        <f>$D$5948</f>
        <v>Show</v>
      </c>
      <c r="E5877" s="65"/>
      <c r="F5877" t="str">
        <f>$F$5948</f>
        <v>Show</v>
      </c>
      <c r="G5877"/>
      <c r="H5877" s="8"/>
    </row>
    <row r="5878" spans="3:8" hidden="1">
      <c r="C5878" s="2">
        <f t="shared" si="25"/>
        <v>3.5000000000000004</v>
      </c>
      <c r="D5878" t="str">
        <f>$D$5949</f>
        <v>Show</v>
      </c>
      <c r="E5878" t="str">
        <f>$E$5949</f>
        <v>Show</v>
      </c>
      <c r="F5878" t="str">
        <f>$F$5949</f>
        <v>Show</v>
      </c>
      <c r="G5878"/>
      <c r="H5878" s="8"/>
    </row>
    <row r="5879" spans="3:8" hidden="1">
      <c r="C5879" s="2">
        <f t="shared" si="25"/>
        <v>3.6000000000000005</v>
      </c>
      <c r="D5879" t="str">
        <f>$D$5950</f>
        <v>Show</v>
      </c>
      <c r="E5879" s="65"/>
      <c r="F5879" t="str">
        <f>$F$5950</f>
        <v>Show</v>
      </c>
      <c r="G5879"/>
      <c r="H5879" s="8"/>
    </row>
    <row r="5880" spans="3:8" hidden="1">
      <c r="C5880" s="2">
        <f t="shared" si="25"/>
        <v>3.7000000000000006</v>
      </c>
      <c r="D5880" t="str">
        <f>$D$5951</f>
        <v>Show</v>
      </c>
      <c r="E5880" t="str">
        <f>$E$5951</f>
        <v>Show</v>
      </c>
      <c r="F5880" t="str">
        <f>$F$5951</f>
        <v>Show</v>
      </c>
      <c r="G5880"/>
      <c r="H5880" s="8"/>
    </row>
    <row r="5881" spans="3:8" hidden="1">
      <c r="C5881" s="2">
        <f t="shared" si="25"/>
        <v>3.8000000000000007</v>
      </c>
      <c r="D5881" t="str">
        <f>$D$5952</f>
        <v>Show</v>
      </c>
      <c r="E5881" t="str">
        <f>$E$5952</f>
        <v>Show</v>
      </c>
      <c r="F5881" t="str">
        <f>$F$5952</f>
        <v>Show</v>
      </c>
      <c r="G5881"/>
      <c r="H5881" s="8"/>
    </row>
    <row r="5882" spans="3:8" hidden="1">
      <c r="C5882" s="2">
        <f t="shared" si="25"/>
        <v>3.9000000000000008</v>
      </c>
      <c r="D5882" t="str">
        <f>$D$5953</f>
        <v>Show</v>
      </c>
      <c r="E5882" t="str">
        <f>$E$5953</f>
        <v>Show</v>
      </c>
      <c r="F5882" t="str">
        <f>$F$5953</f>
        <v>Show</v>
      </c>
      <c r="G5882"/>
      <c r="H5882" s="8"/>
    </row>
    <row r="5883" spans="3:8" hidden="1">
      <c r="C5883" s="64" t="s">
        <v>2776</v>
      </c>
      <c r="D5883" t="str">
        <f>$D$5954</f>
        <v>Show</v>
      </c>
      <c r="E5883" t="str">
        <f>$E$5954</f>
        <v>Show</v>
      </c>
      <c r="F5883" t="str">
        <f>$F$5954</f>
        <v>Show</v>
      </c>
      <c r="G5883"/>
      <c r="H5883" s="8"/>
    </row>
    <row r="5884" spans="3:8" hidden="1">
      <c r="C5884" s="64" t="s">
        <v>2777</v>
      </c>
      <c r="D5884" t="str">
        <f>$D$5955</f>
        <v>Show</v>
      </c>
      <c r="E5884" t="str">
        <f>$E$5955</f>
        <v>Show</v>
      </c>
      <c r="F5884" t="str">
        <f>$F$5955</f>
        <v>Show</v>
      </c>
      <c r="G5884"/>
      <c r="H5884" s="8"/>
    </row>
    <row r="5885" spans="3:8" hidden="1">
      <c r="C5885" s="2">
        <v>4.0999999999999996</v>
      </c>
      <c r="D5885" t="str">
        <f>$D$5956</f>
        <v>Show</v>
      </c>
      <c r="E5885" t="str">
        <f>$E$5956</f>
        <v>Show</v>
      </c>
      <c r="F5885" t="str">
        <f>$F$5956</f>
        <v>Show</v>
      </c>
      <c r="G5885"/>
      <c r="H5885" s="8"/>
    </row>
    <row r="5886" spans="3:8" hidden="1">
      <c r="C5886" s="2">
        <f>C5885+0.1</f>
        <v>4.1999999999999993</v>
      </c>
      <c r="D5886" t="str">
        <f>$D$5957</f>
        <v>Show</v>
      </c>
      <c r="E5886" t="str">
        <f>$E$5957</f>
        <v>Show</v>
      </c>
      <c r="F5886" s="65"/>
      <c r="G5886"/>
      <c r="H5886" s="8"/>
    </row>
    <row r="5887" spans="3:8" hidden="1">
      <c r="C5887" s="2">
        <f t="shared" ref="C5887:C5891" si="26">C5886+0.1</f>
        <v>4.2999999999999989</v>
      </c>
      <c r="D5887" t="str">
        <f>$D$5958</f>
        <v>Show</v>
      </c>
      <c r="E5887" t="str">
        <f>$E$5958</f>
        <v>Show</v>
      </c>
      <c r="F5887" t="str">
        <f>$F$5958</f>
        <v>Show</v>
      </c>
      <c r="G5887"/>
      <c r="H5887" s="8"/>
    </row>
    <row r="5888" spans="3:8" hidden="1">
      <c r="C5888" s="2">
        <f t="shared" si="26"/>
        <v>4.3999999999999986</v>
      </c>
      <c r="D5888" t="str">
        <f>$D$5959</f>
        <v>Show</v>
      </c>
      <c r="E5888" t="str">
        <f>$E$5959</f>
        <v>Show</v>
      </c>
      <c r="F5888" t="str">
        <f>$F$5959</f>
        <v>Show</v>
      </c>
      <c r="G5888"/>
      <c r="H5888" s="8"/>
    </row>
    <row r="5889" spans="3:8" hidden="1">
      <c r="C5889" s="2">
        <f t="shared" si="26"/>
        <v>4.4999999999999982</v>
      </c>
      <c r="D5889" t="str">
        <f>$D$5960</f>
        <v>Show</v>
      </c>
      <c r="E5889" t="str">
        <f>$E$5960</f>
        <v>Show</v>
      </c>
      <c r="F5889" t="str">
        <f>$F$5960</f>
        <v>Show</v>
      </c>
      <c r="G5889"/>
      <c r="H5889" s="8"/>
    </row>
    <row r="5890" spans="3:8" hidden="1">
      <c r="C5890" s="2">
        <f t="shared" si="26"/>
        <v>4.5999999999999979</v>
      </c>
      <c r="D5890" t="str">
        <f>$D$5961</f>
        <v>Show</v>
      </c>
      <c r="E5890" t="str">
        <f>$E$5961</f>
        <v>Show</v>
      </c>
      <c r="F5890" s="65"/>
      <c r="G5890"/>
      <c r="H5890" s="8"/>
    </row>
    <row r="5891" spans="3:8" hidden="1">
      <c r="C5891" s="2">
        <f t="shared" si="26"/>
        <v>4.6999999999999975</v>
      </c>
      <c r="D5891" t="str">
        <f>$D$5962</f>
        <v>Show</v>
      </c>
      <c r="E5891" t="str">
        <f>$E$5962</f>
        <v>Show</v>
      </c>
      <c r="F5891" t="str">
        <f>$F$5962</f>
        <v>Show</v>
      </c>
      <c r="G5891"/>
      <c r="H5891" s="8"/>
    </row>
    <row r="5892" spans="3:8" hidden="1">
      <c r="C5892" s="2">
        <f>5.1</f>
        <v>5.0999999999999996</v>
      </c>
      <c r="D5892" s="65"/>
      <c r="E5892" s="65"/>
      <c r="F5892" s="65"/>
      <c r="G5892"/>
      <c r="H5892" s="8"/>
    </row>
    <row r="5893" spans="3:8" hidden="1">
      <c r="C5893" s="25" t="s">
        <v>2781</v>
      </c>
      <c r="D5893" t="str">
        <f>$D$5964</f>
        <v>Show</v>
      </c>
      <c r="E5893" t="str">
        <f>$E$5964</f>
        <v>Show</v>
      </c>
      <c r="F5893" t="str">
        <f>$F$5964</f>
        <v>Show</v>
      </c>
      <c r="G5893"/>
      <c r="H5893" s="8"/>
    </row>
    <row r="5894" spans="3:8" hidden="1">
      <c r="C5894" s="25" t="s">
        <v>2782</v>
      </c>
      <c r="D5894" t="str">
        <f>$D$5965</f>
        <v>Show</v>
      </c>
      <c r="E5894" t="str">
        <f>$E$5965</f>
        <v>Show</v>
      </c>
      <c r="F5894" t="str">
        <f>$F$5965</f>
        <v>Show</v>
      </c>
      <c r="G5894"/>
      <c r="H5894" s="8"/>
    </row>
    <row r="5895" spans="3:8" hidden="1">
      <c r="C5895" s="2">
        <v>5.3</v>
      </c>
      <c r="D5895" t="str">
        <f>$D$5966</f>
        <v>Show</v>
      </c>
      <c r="E5895" t="str">
        <f>$E$5966</f>
        <v>Show</v>
      </c>
      <c r="F5895" t="str">
        <f>$F$5966</f>
        <v>Show</v>
      </c>
      <c r="G5895"/>
      <c r="H5895" s="8"/>
    </row>
    <row r="5896" spans="3:8" hidden="1">
      <c r="C5896" s="2">
        <f t="shared" ref="C5896:C5901" si="27">C5895+0.1</f>
        <v>5.3999999999999995</v>
      </c>
      <c r="D5896" t="str">
        <f>$D$5967</f>
        <v>Show</v>
      </c>
      <c r="E5896" t="str">
        <f>$E$5967</f>
        <v>Show</v>
      </c>
      <c r="F5896" t="str">
        <f>$F$5967</f>
        <v>Show</v>
      </c>
      <c r="G5896"/>
      <c r="H5896" s="8"/>
    </row>
    <row r="5897" spans="3:8" hidden="1">
      <c r="C5897" s="2">
        <f t="shared" si="27"/>
        <v>5.4999999999999991</v>
      </c>
      <c r="D5897" t="str">
        <f>$D$5968</f>
        <v>Show</v>
      </c>
      <c r="E5897" t="str">
        <f>$E$5968</f>
        <v>Show</v>
      </c>
      <c r="F5897" s="65"/>
      <c r="G5897"/>
      <c r="H5897" s="8"/>
    </row>
    <row r="5898" spans="3:8" hidden="1">
      <c r="C5898" s="2">
        <f t="shared" si="27"/>
        <v>5.5999999999999988</v>
      </c>
      <c r="D5898" t="str">
        <f>$D$5969</f>
        <v>Show</v>
      </c>
      <c r="E5898" t="str">
        <f>$E$5969</f>
        <v>Show</v>
      </c>
      <c r="F5898" t="str">
        <f>$F$5969</f>
        <v>Show</v>
      </c>
      <c r="G5898"/>
      <c r="H5898" s="8"/>
    </row>
    <row r="5899" spans="3:8" hidden="1">
      <c r="C5899" s="2">
        <f t="shared" si="27"/>
        <v>5.6999999999999984</v>
      </c>
      <c r="D5899" t="str">
        <f>$D$5970</f>
        <v>Show</v>
      </c>
      <c r="E5899" t="str">
        <f>$E$5970</f>
        <v>Show</v>
      </c>
      <c r="F5899" t="str">
        <f>$F$5970</f>
        <v>Show</v>
      </c>
      <c r="G5899"/>
      <c r="H5899" s="8"/>
    </row>
    <row r="5900" spans="3:8" hidden="1">
      <c r="C5900" s="2">
        <f t="shared" si="27"/>
        <v>5.799999999999998</v>
      </c>
      <c r="D5900" t="str">
        <f>$D$5971</f>
        <v>Show</v>
      </c>
      <c r="E5900" t="str">
        <f>$E$5971</f>
        <v>Show</v>
      </c>
      <c r="F5900" t="str">
        <f>$F$5971</f>
        <v>Show</v>
      </c>
      <c r="G5900"/>
      <c r="H5900" s="8"/>
    </row>
    <row r="5901" spans="3:8" hidden="1">
      <c r="C5901" s="2">
        <f t="shared" si="27"/>
        <v>5.8999999999999977</v>
      </c>
      <c r="D5901" t="str">
        <f>$D$5972</f>
        <v>Show</v>
      </c>
      <c r="E5901" t="str">
        <f>$E$5972</f>
        <v>Show</v>
      </c>
      <c r="F5901" t="str">
        <f>$F$5972</f>
        <v>Show</v>
      </c>
      <c r="G5901"/>
      <c r="H5901" s="8"/>
    </row>
    <row r="5902" spans="3:8" hidden="1">
      <c r="C5902" s="2">
        <v>6.1</v>
      </c>
      <c r="D5902" s="65"/>
      <c r="E5902" t="str">
        <f>$E$5973</f>
        <v>Show</v>
      </c>
      <c r="F5902" s="65"/>
      <c r="G5902"/>
      <c r="H5902" s="8"/>
    </row>
    <row r="5903" spans="3:8" hidden="1">
      <c r="C5903" s="2">
        <f>C5902+0.1</f>
        <v>6.1999999999999993</v>
      </c>
      <c r="D5903" t="str">
        <f>$D$5974</f>
        <v>Show</v>
      </c>
      <c r="E5903" t="str">
        <f>$E$5974</f>
        <v>Show</v>
      </c>
      <c r="F5903" t="str">
        <f>$F$5974</f>
        <v>Show</v>
      </c>
      <c r="G5903"/>
      <c r="H5903" s="8"/>
    </row>
    <row r="5904" spans="3:8" hidden="1">
      <c r="C5904" s="2">
        <f t="shared" ref="C5904:C5906" si="28">C5903+0.1</f>
        <v>6.2999999999999989</v>
      </c>
      <c r="D5904" t="str">
        <f>$D$5975</f>
        <v>Show</v>
      </c>
      <c r="E5904" s="65"/>
      <c r="F5904" t="str">
        <f>$F$5975</f>
        <v>Show</v>
      </c>
      <c r="G5904"/>
      <c r="H5904" s="8"/>
    </row>
    <row r="5905" spans="3:8" hidden="1">
      <c r="C5905" s="2">
        <f t="shared" si="28"/>
        <v>6.3999999999999986</v>
      </c>
      <c r="D5905" t="str">
        <f>$D$5976</f>
        <v>Show</v>
      </c>
      <c r="E5905" t="str">
        <f>$E$5976</f>
        <v>Show</v>
      </c>
      <c r="F5905" t="str">
        <f>$F$5976</f>
        <v>Show</v>
      </c>
      <c r="G5905"/>
      <c r="H5905" s="8"/>
    </row>
    <row r="5906" spans="3:8" hidden="1">
      <c r="C5906" s="2">
        <f t="shared" si="28"/>
        <v>6.4999999999999982</v>
      </c>
      <c r="D5906" t="str">
        <f>$D$5977</f>
        <v>Show</v>
      </c>
      <c r="E5906" s="65"/>
      <c r="F5906" t="str">
        <f>$F$5977</f>
        <v>Show</v>
      </c>
      <c r="G5906"/>
      <c r="H5906" s="8"/>
    </row>
    <row r="5907" spans="3:8" hidden="1">
      <c r="C5907" s="2">
        <v>7.1</v>
      </c>
      <c r="D5907" t="str">
        <f>$D$5978</f>
        <v>Show</v>
      </c>
      <c r="E5907" s="65"/>
      <c r="F5907" t="str">
        <f>$F$5978</f>
        <v>Show</v>
      </c>
      <c r="G5907"/>
      <c r="H5907" s="8"/>
    </row>
    <row r="5908" spans="3:8" hidden="1">
      <c r="C5908" s="2">
        <f>C5907+0.1</f>
        <v>7.1999999999999993</v>
      </c>
      <c r="D5908" t="str">
        <f>$D$5979</f>
        <v>Show</v>
      </c>
      <c r="E5908" t="str">
        <f>$E$5979</f>
        <v>Show</v>
      </c>
      <c r="F5908" t="str">
        <f>$F$5979</f>
        <v>Show</v>
      </c>
      <c r="G5908"/>
      <c r="H5908" s="8"/>
    </row>
    <row r="5909" spans="3:8" hidden="1">
      <c r="C5909" s="2">
        <f t="shared" ref="C5909:C5914" si="29">C5908+0.1</f>
        <v>7.2999999999999989</v>
      </c>
      <c r="D5909" t="str">
        <f>$D$5980</f>
        <v>Show</v>
      </c>
      <c r="E5909" t="str">
        <f>$E$5980</f>
        <v>Show</v>
      </c>
      <c r="F5909" t="str">
        <f>$F$5980</f>
        <v>Show</v>
      </c>
      <c r="G5909"/>
      <c r="H5909" s="8"/>
    </row>
    <row r="5910" spans="3:8" hidden="1">
      <c r="C5910" s="2">
        <f t="shared" si="29"/>
        <v>7.3999999999999986</v>
      </c>
      <c r="D5910" s="65"/>
      <c r="E5910" s="65"/>
      <c r="F5910" s="65"/>
      <c r="G5910"/>
      <c r="H5910" s="8"/>
    </row>
    <row r="5911" spans="3:8" hidden="1">
      <c r="C5911" s="2">
        <f t="shared" si="29"/>
        <v>7.4999999999999982</v>
      </c>
      <c r="D5911" t="str">
        <f>$D$5982</f>
        <v>Show</v>
      </c>
      <c r="E5911" t="str">
        <f>$E$5982</f>
        <v>Show</v>
      </c>
      <c r="F5911" t="str">
        <f>$F$5982</f>
        <v>Show</v>
      </c>
      <c r="G5911"/>
      <c r="H5911" s="8"/>
    </row>
    <row r="5912" spans="3:8" hidden="1">
      <c r="C5912" s="2">
        <f t="shared" si="29"/>
        <v>7.5999999999999979</v>
      </c>
      <c r="D5912" t="str">
        <f>$D$5983</f>
        <v>Show</v>
      </c>
      <c r="E5912" t="str">
        <f>$E$5983</f>
        <v>Show</v>
      </c>
      <c r="F5912" s="65"/>
      <c r="G5912"/>
      <c r="H5912" s="8"/>
    </row>
    <row r="5913" spans="3:8" hidden="1">
      <c r="C5913" s="2">
        <f t="shared" si="29"/>
        <v>7.6999999999999975</v>
      </c>
      <c r="D5913" t="str">
        <f>$D$5984</f>
        <v>Show</v>
      </c>
      <c r="E5913" t="str">
        <f>$E$5984</f>
        <v>Show</v>
      </c>
      <c r="F5913" t="str">
        <f>$F$5984</f>
        <v>Show</v>
      </c>
      <c r="G5913"/>
      <c r="H5913" s="8"/>
    </row>
    <row r="5914" spans="3:8" hidden="1">
      <c r="C5914" s="2">
        <f t="shared" si="29"/>
        <v>7.7999999999999972</v>
      </c>
      <c r="D5914" t="str">
        <f>$D$5985</f>
        <v>Show</v>
      </c>
      <c r="E5914" t="str">
        <f>$E$5985</f>
        <v>Show</v>
      </c>
      <c r="F5914" t="str">
        <f>$F$5985</f>
        <v>Show</v>
      </c>
      <c r="G5914"/>
      <c r="H5914" s="8"/>
    </row>
    <row r="5915" spans="3:8" hidden="1">
      <c r="C5915" s="25" t="s">
        <v>2783</v>
      </c>
      <c r="D5915" t="str">
        <f>$D$5986</f>
        <v>Show</v>
      </c>
      <c r="E5915" t="str">
        <f>$E$5986</f>
        <v>Show</v>
      </c>
      <c r="F5915" t="str">
        <f>$F$5986</f>
        <v>Show</v>
      </c>
      <c r="G5915"/>
      <c r="H5915" s="8"/>
    </row>
    <row r="5916" spans="3:8" hidden="1">
      <c r="C5916" s="25" t="s">
        <v>2784</v>
      </c>
      <c r="D5916" t="str">
        <f>$D$5987</f>
        <v>Show</v>
      </c>
      <c r="E5916" s="65"/>
      <c r="F5916" t="str">
        <f>$F$5987</f>
        <v>Show</v>
      </c>
      <c r="G5916"/>
      <c r="H5916" s="8"/>
    </row>
    <row r="5917" spans="3:8" hidden="1">
      <c r="C5917" s="64" t="s">
        <v>2778</v>
      </c>
      <c r="D5917" t="str">
        <f>$D$5988</f>
        <v>Show</v>
      </c>
      <c r="E5917" t="str">
        <f>$E$5988</f>
        <v>Show</v>
      </c>
      <c r="F5917" t="str">
        <f>$F$5988</f>
        <v>Show</v>
      </c>
      <c r="G5917"/>
      <c r="H5917" s="8"/>
    </row>
    <row r="5918" spans="3:8" hidden="1">
      <c r="C5918" s="64" t="s">
        <v>2779</v>
      </c>
      <c r="D5918" t="str">
        <f>$D$5989</f>
        <v>Show</v>
      </c>
      <c r="E5918" t="str">
        <f>$E$5989</f>
        <v>Show</v>
      </c>
      <c r="F5918" t="str">
        <f>$F$5989</f>
        <v>Show</v>
      </c>
      <c r="G5918"/>
      <c r="H5918" s="8"/>
    </row>
    <row r="5919" spans="3:8" hidden="1">
      <c r="C5919" s="64" t="s">
        <v>2785</v>
      </c>
      <c r="D5919" t="str">
        <f>$D$5990</f>
        <v>Show</v>
      </c>
      <c r="E5919" t="str">
        <f>$E$5990</f>
        <v>Show</v>
      </c>
      <c r="F5919" s="65"/>
      <c r="G5919"/>
      <c r="H5919" s="8"/>
    </row>
    <row r="5920" spans="3:8" hidden="1">
      <c r="C5920" s="64" t="s">
        <v>2786</v>
      </c>
      <c r="D5920" t="str">
        <f>$D$5991</f>
        <v>Show</v>
      </c>
      <c r="E5920" t="str">
        <f>$E$5991</f>
        <v>Show</v>
      </c>
      <c r="F5920" t="str">
        <f>$F$5991</f>
        <v>Show</v>
      </c>
      <c r="G5920"/>
      <c r="H5920" s="8"/>
    </row>
    <row r="5921" spans="3:8" hidden="1">
      <c r="C5921" s="64" t="s">
        <v>2780</v>
      </c>
      <c r="D5921" t="str">
        <f>$D$5992</f>
        <v>Show</v>
      </c>
      <c r="E5921" t="str">
        <f>$E$5992</f>
        <v>Show</v>
      </c>
      <c r="F5921" t="str">
        <f>$F$5992</f>
        <v>Show</v>
      </c>
      <c r="G5921"/>
      <c r="H5921" s="8"/>
    </row>
    <row r="5922" spans="3:8" hidden="1">
      <c r="C5922" s="2">
        <v>7.14</v>
      </c>
      <c r="D5922" t="str">
        <f>$D$5993</f>
        <v>Show</v>
      </c>
      <c r="E5922" t="str">
        <f>$E$5993</f>
        <v>Show</v>
      </c>
      <c r="F5922" t="str">
        <f>$F$5993</f>
        <v>Show</v>
      </c>
      <c r="G5922"/>
      <c r="H5922" s="8"/>
    </row>
    <row r="5923" spans="3:8" hidden="1">
      <c r="C5923" s="2">
        <v>7.15</v>
      </c>
      <c r="D5923" t="str">
        <f>$D$5994</f>
        <v>Show</v>
      </c>
      <c r="E5923" t="str">
        <f>$E$5994</f>
        <v>Show</v>
      </c>
      <c r="F5923" t="str">
        <f>$F$5994</f>
        <v>Show</v>
      </c>
      <c r="G5923"/>
      <c r="H5923" s="8"/>
    </row>
    <row r="5924" spans="3:8" hidden="1">
      <c r="C5924" s="2">
        <v>7.16</v>
      </c>
      <c r="D5924" t="str">
        <f>$D$5995</f>
        <v>Show</v>
      </c>
      <c r="E5924" t="str">
        <f>$E$5995</f>
        <v>Show</v>
      </c>
      <c r="F5924" t="str">
        <f>$F$5995</f>
        <v>Show</v>
      </c>
      <c r="G5924"/>
      <c r="H5924" s="8"/>
    </row>
    <row r="5925" spans="3:8" hidden="1">
      <c r="C5925" s="2">
        <v>7.17</v>
      </c>
      <c r="D5925" t="str">
        <f>$D$5996</f>
        <v>Show</v>
      </c>
      <c r="E5925" t="str">
        <f>$E$5996</f>
        <v>Show</v>
      </c>
      <c r="F5925" t="str">
        <f>$F$5996</f>
        <v>Show</v>
      </c>
      <c r="G5925"/>
      <c r="H5925" s="8"/>
    </row>
    <row r="5926" spans="3:8" hidden="1">
      <c r="C5926" s="2">
        <v>7.18</v>
      </c>
      <c r="D5926" s="65"/>
      <c r="E5926" s="65"/>
      <c r="F5926" s="65"/>
      <c r="G5926"/>
      <c r="H5926" s="8"/>
    </row>
    <row r="5927" spans="3:8" hidden="1">
      <c r="C5927" s="2">
        <v>8.1</v>
      </c>
      <c r="D5927" t="str">
        <f>$D$5998</f>
        <v>Show</v>
      </c>
      <c r="E5927" s="65"/>
      <c r="F5927" s="65"/>
      <c r="G5927"/>
      <c r="H5927" s="8"/>
    </row>
    <row r="5928" spans="3:8" hidden="1">
      <c r="C5928" s="2">
        <f>C5927+0.1</f>
        <v>8.1999999999999993</v>
      </c>
      <c r="D5928" t="str">
        <f>$D$5999</f>
        <v>Show</v>
      </c>
      <c r="E5928" s="65"/>
      <c r="F5928" s="65"/>
      <c r="G5928"/>
      <c r="H5928" s="8"/>
    </row>
    <row r="5929" spans="3:8" hidden="1">
      <c r="C5929" s="2">
        <f t="shared" ref="C5929:C5931" si="30">C5928+0.1</f>
        <v>8.2999999999999989</v>
      </c>
      <c r="D5929" s="65"/>
      <c r="E5929" s="65"/>
      <c r="F5929" s="65"/>
      <c r="G5929"/>
      <c r="H5929" s="8"/>
    </row>
    <row r="5930" spans="3:8" hidden="1">
      <c r="C5930" s="2">
        <f t="shared" si="30"/>
        <v>8.3999999999999986</v>
      </c>
      <c r="D5930" t="str">
        <f>$D$6001</f>
        <v>Show</v>
      </c>
      <c r="E5930" s="65"/>
      <c r="F5930" t="str">
        <f>$F$6001</f>
        <v>Show</v>
      </c>
      <c r="G5930"/>
      <c r="H5930" s="8"/>
    </row>
    <row r="5931" spans="3:8" hidden="1">
      <c r="C5931" s="2">
        <f t="shared" si="30"/>
        <v>8.4999999999999982</v>
      </c>
      <c r="D5931" t="str">
        <f>$D$6002</f>
        <v>Show</v>
      </c>
      <c r="E5931" s="65"/>
      <c r="F5931" t="str">
        <f>$F$6002</f>
        <v>Show</v>
      </c>
      <c r="G5931"/>
      <c r="H5931" s="8"/>
    </row>
    <row r="5932" spans="3:8" hidden="1">
      <c r="C5932" s="2"/>
      <c r="D5932"/>
      <c r="E5932"/>
      <c r="F5932"/>
      <c r="G5932"/>
      <c r="H5932" s="8"/>
    </row>
    <row r="5933" spans="3:8" hidden="1">
      <c r="C5933" s="67" t="s">
        <v>2774</v>
      </c>
      <c r="D5933" s="63"/>
      <c r="E5933" s="63"/>
      <c r="F5933" s="63"/>
      <c r="G5933" s="63"/>
      <c r="H5933" s="68"/>
    </row>
    <row r="5934" spans="3:8" hidden="1">
      <c r="C5934" s="2"/>
      <c r="D5934" t="s">
        <v>99</v>
      </c>
      <c r="E5934" t="s">
        <v>160</v>
      </c>
      <c r="F5934" t="s">
        <v>96</v>
      </c>
      <c r="G5934"/>
      <c r="H5934" s="8"/>
    </row>
    <row r="5935" spans="3:8" hidden="1">
      <c r="C5935" s="2">
        <v>2.1</v>
      </c>
      <c r="D5935" t="str">
        <f>C649</f>
        <v>Show</v>
      </c>
      <c r="E5935" s="65"/>
      <c r="F5935" s="65"/>
      <c r="G5935"/>
      <c r="H5935" s="8"/>
    </row>
    <row r="5936" spans="3:8" hidden="1">
      <c r="C5936" s="2">
        <f>C5935+0.1</f>
        <v>2.2000000000000002</v>
      </c>
      <c r="D5936" s="65"/>
      <c r="E5936" s="65"/>
      <c r="F5936" t="str">
        <f>C1271</f>
        <v>Show</v>
      </c>
      <c r="G5936"/>
      <c r="H5936" s="8"/>
    </row>
    <row r="5937" spans="3:8" hidden="1">
      <c r="C5937" s="2">
        <f t="shared" ref="C5937:C5942" si="31">C5936+0.1</f>
        <v>2.3000000000000003</v>
      </c>
      <c r="D5937" s="65"/>
      <c r="E5937" s="65"/>
      <c r="F5937" s="65"/>
      <c r="G5937"/>
      <c r="H5937" s="8"/>
    </row>
    <row r="5938" spans="3:8" hidden="1">
      <c r="C5938" s="2">
        <f t="shared" si="31"/>
        <v>2.4000000000000004</v>
      </c>
      <c r="D5938" s="65"/>
      <c r="E5938" s="65"/>
      <c r="F5938" s="65"/>
      <c r="G5938"/>
      <c r="H5938" s="8"/>
    </row>
    <row r="5939" spans="3:8" hidden="1">
      <c r="C5939" s="2">
        <f t="shared" si="31"/>
        <v>2.5000000000000004</v>
      </c>
      <c r="D5939" s="65"/>
      <c r="E5939" s="65"/>
      <c r="F5939" t="str">
        <f>C1273</f>
        <v>Show</v>
      </c>
      <c r="G5939"/>
      <c r="H5939" s="8"/>
    </row>
    <row r="5940" spans="3:8" hidden="1">
      <c r="C5940" s="2">
        <f t="shared" si="31"/>
        <v>2.6000000000000005</v>
      </c>
      <c r="D5940" t="str">
        <f>C652</f>
        <v>Show</v>
      </c>
      <c r="E5940" s="65"/>
      <c r="F5940" t="str">
        <f>C1275</f>
        <v>Show</v>
      </c>
      <c r="G5940"/>
      <c r="H5940" s="8"/>
    </row>
    <row r="5941" spans="3:8" hidden="1">
      <c r="C5941" s="2">
        <f>C5940+0.1</f>
        <v>2.7000000000000006</v>
      </c>
      <c r="D5941" s="65"/>
      <c r="E5941" s="65"/>
      <c r="F5941" s="65"/>
      <c r="G5941"/>
      <c r="H5941" s="8"/>
    </row>
    <row r="5942" spans="3:8" hidden="1">
      <c r="C5942" s="2">
        <f t="shared" si="31"/>
        <v>2.8000000000000007</v>
      </c>
      <c r="D5942" s="65"/>
      <c r="E5942" s="65"/>
      <c r="F5942" s="65"/>
      <c r="G5942"/>
      <c r="H5942" s="8"/>
    </row>
    <row r="5943" spans="3:8" hidden="1">
      <c r="C5943" s="2">
        <f>C5942+0.1</f>
        <v>2.9000000000000008</v>
      </c>
      <c r="D5943" s="65"/>
      <c r="E5943" s="65"/>
      <c r="F5943" t="str">
        <f>C1288</f>
        <v>Show</v>
      </c>
      <c r="G5943"/>
      <c r="H5943" s="8"/>
    </row>
    <row r="5944" spans="3:8" hidden="1">
      <c r="C5944" s="64" t="s">
        <v>2775</v>
      </c>
      <c r="D5944" s="65"/>
      <c r="E5944" s="65"/>
      <c r="F5944" t="str">
        <f>C1295</f>
        <v>Show</v>
      </c>
      <c r="G5944"/>
      <c r="H5944" s="8"/>
    </row>
    <row r="5945" spans="3:8" hidden="1">
      <c r="C5945" s="2">
        <v>3.1</v>
      </c>
      <c r="D5945" t="s">
        <v>2699</v>
      </c>
      <c r="E5945" s="65"/>
      <c r="F5945" t="s">
        <v>2699</v>
      </c>
      <c r="G5945"/>
      <c r="H5945" s="8"/>
    </row>
    <row r="5946" spans="3:8" hidden="1">
      <c r="C5946" s="2">
        <f>C5945+0.1</f>
        <v>3.2</v>
      </c>
      <c r="D5946" t="s">
        <v>2699</v>
      </c>
      <c r="E5946" t="s">
        <v>2699</v>
      </c>
      <c r="F5946" t="s">
        <v>2699</v>
      </c>
      <c r="G5946"/>
      <c r="H5946" s="8"/>
    </row>
    <row r="5947" spans="3:8" hidden="1">
      <c r="C5947" s="2">
        <f t="shared" ref="C5947:C5953" si="32">C5946+0.1</f>
        <v>3.3000000000000003</v>
      </c>
      <c r="D5947" t="str">
        <f>C660</f>
        <v>Show</v>
      </c>
      <c r="E5947" t="str">
        <f>C983</f>
        <v>Show</v>
      </c>
      <c r="F5947" t="str">
        <f>C1304</f>
        <v>Show</v>
      </c>
      <c r="G5947"/>
      <c r="H5947" s="8"/>
    </row>
    <row r="5948" spans="3:8" hidden="1">
      <c r="C5948" s="2">
        <f t="shared" si="32"/>
        <v>3.4000000000000004</v>
      </c>
      <c r="D5948" t="str">
        <f>C666</f>
        <v>Show</v>
      </c>
      <c r="E5948" s="65"/>
      <c r="F5948" t="str">
        <f>C1313</f>
        <v>Show</v>
      </c>
      <c r="G5948"/>
      <c r="H5948" s="8"/>
    </row>
    <row r="5949" spans="3:8" hidden="1">
      <c r="C5949" s="2">
        <f t="shared" si="32"/>
        <v>3.5000000000000004</v>
      </c>
      <c r="D5949" t="str">
        <f>C668</f>
        <v>Show</v>
      </c>
      <c r="E5949" t="str">
        <f>C996</f>
        <v>Show</v>
      </c>
      <c r="F5949" t="str">
        <f>C1315</f>
        <v>Show</v>
      </c>
      <c r="G5949"/>
      <c r="H5949" s="8"/>
    </row>
    <row r="5950" spans="3:8" hidden="1">
      <c r="C5950" s="2">
        <f t="shared" si="32"/>
        <v>3.6000000000000005</v>
      </c>
      <c r="D5950" t="str">
        <f>C672</f>
        <v>Show</v>
      </c>
      <c r="E5950" s="65"/>
      <c r="F5950" t="str">
        <f>C1318</f>
        <v>Show</v>
      </c>
      <c r="G5950"/>
      <c r="H5950" s="8"/>
    </row>
    <row r="5951" spans="3:8" hidden="1">
      <c r="C5951" s="2">
        <f t="shared" si="32"/>
        <v>3.7000000000000006</v>
      </c>
      <c r="D5951" t="str">
        <f>C675</f>
        <v>Show</v>
      </c>
      <c r="E5951" t="str">
        <f>C999</f>
        <v>Show</v>
      </c>
      <c r="F5951" t="str">
        <f>C1322</f>
        <v>Show</v>
      </c>
      <c r="G5951"/>
      <c r="H5951" s="8"/>
    </row>
    <row r="5952" spans="3:8" hidden="1">
      <c r="C5952" s="2">
        <f t="shared" si="32"/>
        <v>3.8000000000000007</v>
      </c>
      <c r="D5952" t="str">
        <f>C678</f>
        <v>Show</v>
      </c>
      <c r="E5952" t="str">
        <f>C1002</f>
        <v>Show</v>
      </c>
      <c r="F5952" t="str">
        <f>C1335</f>
        <v>Show</v>
      </c>
      <c r="G5952"/>
      <c r="H5952" s="8"/>
    </row>
    <row r="5953" spans="3:8" hidden="1">
      <c r="C5953" s="2">
        <f t="shared" si="32"/>
        <v>3.9000000000000008</v>
      </c>
      <c r="D5953" t="str">
        <f>C682</f>
        <v>Show</v>
      </c>
      <c r="E5953" t="str">
        <f>C1007</f>
        <v>Show</v>
      </c>
      <c r="F5953" t="str">
        <f>C1338</f>
        <v>Show</v>
      </c>
      <c r="G5953"/>
      <c r="H5953" s="8"/>
    </row>
    <row r="5954" spans="3:8" hidden="1">
      <c r="C5954" s="64" t="s">
        <v>2776</v>
      </c>
      <c r="D5954" t="str">
        <f>C713</f>
        <v>Show</v>
      </c>
      <c r="E5954" t="str">
        <f>C1048</f>
        <v>Show</v>
      </c>
      <c r="F5954" t="str">
        <f>C1404</f>
        <v>Show</v>
      </c>
      <c r="G5954"/>
      <c r="H5954" s="8"/>
    </row>
    <row r="5955" spans="3:8" hidden="1">
      <c r="C5955" s="64" t="s">
        <v>2777</v>
      </c>
      <c r="D5955" t="str">
        <f>C727</f>
        <v>Show</v>
      </c>
      <c r="E5955" t="str">
        <f>C1062</f>
        <v>Show</v>
      </c>
      <c r="F5955" t="str">
        <f>C1424</f>
        <v>Show</v>
      </c>
      <c r="G5955"/>
      <c r="H5955" s="8"/>
    </row>
    <row r="5956" spans="3:8" hidden="1">
      <c r="C5956" s="2">
        <v>4.0999999999999996</v>
      </c>
      <c r="D5956" t="str">
        <f>C737</f>
        <v>Show</v>
      </c>
      <c r="E5956" t="str">
        <f>C1072</f>
        <v>Show</v>
      </c>
      <c r="F5956" t="str">
        <f>C1433</f>
        <v>Show</v>
      </c>
      <c r="G5956"/>
      <c r="H5956" s="8"/>
    </row>
    <row r="5957" spans="3:8" hidden="1">
      <c r="C5957" s="2">
        <f>C5956+0.1</f>
        <v>4.1999999999999993</v>
      </c>
      <c r="D5957" t="str">
        <f>C737</f>
        <v>Show</v>
      </c>
      <c r="E5957" t="str">
        <f>C1072</f>
        <v>Show</v>
      </c>
      <c r="F5957" s="65"/>
      <c r="G5957"/>
      <c r="H5957" s="8"/>
    </row>
    <row r="5958" spans="3:8" hidden="1">
      <c r="C5958" s="2">
        <f t="shared" ref="C5958:C5962" si="33">C5957+0.1</f>
        <v>4.2999999999999989</v>
      </c>
      <c r="D5958" t="str">
        <f>C743</f>
        <v>Show</v>
      </c>
      <c r="E5958" t="str">
        <f>C1076</f>
        <v>Show</v>
      </c>
      <c r="F5958" t="str">
        <f>C1437</f>
        <v>Show</v>
      </c>
      <c r="G5958"/>
      <c r="H5958" s="8"/>
    </row>
    <row r="5959" spans="3:8" hidden="1">
      <c r="C5959" s="2">
        <f t="shared" si="33"/>
        <v>4.3999999999999986</v>
      </c>
      <c r="D5959" t="str">
        <f>C751</f>
        <v>Show</v>
      </c>
      <c r="E5959" t="str">
        <f>C1080</f>
        <v>Show</v>
      </c>
      <c r="F5959" t="str">
        <f>C1440</f>
        <v>Show</v>
      </c>
      <c r="G5959"/>
      <c r="H5959" s="8"/>
    </row>
    <row r="5960" spans="3:8" hidden="1">
      <c r="C5960" s="2">
        <f t="shared" si="33"/>
        <v>4.4999999999999982</v>
      </c>
      <c r="D5960" t="str">
        <f>C757</f>
        <v>Show</v>
      </c>
      <c r="E5960" t="str">
        <f>C1082</f>
        <v>Show</v>
      </c>
      <c r="F5960" t="str">
        <f>C1457</f>
        <v>Show</v>
      </c>
      <c r="G5960"/>
      <c r="H5960" s="8"/>
    </row>
    <row r="5961" spans="3:8" hidden="1">
      <c r="C5961" s="2">
        <f t="shared" si="33"/>
        <v>4.5999999999999979</v>
      </c>
      <c r="D5961" t="str">
        <f>C763</f>
        <v>Show</v>
      </c>
      <c r="E5961" t="str">
        <f>C1091</f>
        <v>Show</v>
      </c>
      <c r="F5961" s="65"/>
      <c r="G5961"/>
      <c r="H5961" s="8"/>
    </row>
    <row r="5962" spans="3:8" hidden="1">
      <c r="C5962" s="2">
        <f t="shared" si="33"/>
        <v>4.6999999999999975</v>
      </c>
      <c r="D5962" t="str">
        <f>C765</f>
        <v>Show</v>
      </c>
      <c r="E5962" t="str">
        <f>C1096</f>
        <v>Show</v>
      </c>
      <c r="F5962" t="str">
        <f>C1462</f>
        <v>Show</v>
      </c>
      <c r="G5962"/>
      <c r="H5962" s="8"/>
    </row>
    <row r="5963" spans="3:8" hidden="1">
      <c r="C5963" s="2">
        <f>5.1</f>
        <v>5.0999999999999996</v>
      </c>
      <c r="D5963" s="65"/>
      <c r="E5963" s="65"/>
      <c r="F5963" s="65"/>
      <c r="G5963"/>
      <c r="H5963" s="8"/>
    </row>
    <row r="5964" spans="3:8" hidden="1">
      <c r="C5964" s="25" t="s">
        <v>2781</v>
      </c>
      <c r="D5964" t="str">
        <f>C770</f>
        <v>Show</v>
      </c>
      <c r="E5964" t="str">
        <f>C1100</f>
        <v>Show</v>
      </c>
      <c r="F5964" t="str">
        <f>C1466</f>
        <v>Show</v>
      </c>
      <c r="G5964"/>
      <c r="H5964" s="8"/>
    </row>
    <row r="5965" spans="3:8" hidden="1">
      <c r="C5965" s="25" t="s">
        <v>2782</v>
      </c>
      <c r="D5965" t="str">
        <f>C773</f>
        <v>Show</v>
      </c>
      <c r="E5965" t="str">
        <f>C1103</f>
        <v>Show</v>
      </c>
      <c r="F5965" t="str">
        <f>C1469</f>
        <v>Show</v>
      </c>
      <c r="G5965"/>
      <c r="H5965" s="8"/>
    </row>
    <row r="5966" spans="3:8" hidden="1">
      <c r="C5966" s="2">
        <v>5.3</v>
      </c>
      <c r="D5966" t="str">
        <f>C789</f>
        <v>Show</v>
      </c>
      <c r="E5966" t="str">
        <f>C1113</f>
        <v>Show</v>
      </c>
      <c r="F5966" t="str">
        <f>C1484</f>
        <v>Show</v>
      </c>
      <c r="G5966"/>
      <c r="H5966" s="8"/>
    </row>
    <row r="5967" spans="3:8" hidden="1">
      <c r="C5967" s="2">
        <f t="shared" ref="C5967:C5972" si="34">C5966+0.1</f>
        <v>5.3999999999999995</v>
      </c>
      <c r="D5967" t="str">
        <f>C806</f>
        <v>Show</v>
      </c>
      <c r="E5967" t="str">
        <f>C1130</f>
        <v>Show</v>
      </c>
      <c r="F5967" t="str">
        <f>C1501</f>
        <v>Show</v>
      </c>
      <c r="G5967"/>
      <c r="H5967" s="8"/>
    </row>
    <row r="5968" spans="3:8" hidden="1">
      <c r="C5968" s="2">
        <f t="shared" si="34"/>
        <v>5.4999999999999991</v>
      </c>
      <c r="D5968" t="str">
        <f>C818</f>
        <v>Show</v>
      </c>
      <c r="E5968" t="str">
        <f>C1136</f>
        <v>Show</v>
      </c>
      <c r="F5968" s="65"/>
      <c r="G5968"/>
      <c r="H5968" s="8"/>
    </row>
    <row r="5969" spans="3:8" hidden="1">
      <c r="C5969" s="2">
        <f t="shared" si="34"/>
        <v>5.5999999999999988</v>
      </c>
      <c r="D5969" t="str">
        <f>C821</f>
        <v>Show</v>
      </c>
      <c r="E5969" t="str">
        <f>C1139</f>
        <v>Show</v>
      </c>
      <c r="F5969" t="str">
        <f>C1510</f>
        <v>Show</v>
      </c>
      <c r="G5969"/>
      <c r="H5969" s="8"/>
    </row>
    <row r="5970" spans="3:8" hidden="1">
      <c r="C5970" s="2">
        <f t="shared" si="34"/>
        <v>5.6999999999999984</v>
      </c>
      <c r="D5970" t="str">
        <f>C826</f>
        <v>Show</v>
      </c>
      <c r="E5970" t="str">
        <f>C1143</f>
        <v>Show</v>
      </c>
      <c r="F5970" t="str">
        <f>C1514</f>
        <v>Show</v>
      </c>
      <c r="G5970"/>
      <c r="H5970" s="8"/>
    </row>
    <row r="5971" spans="3:8" hidden="1">
      <c r="C5971" s="2">
        <f t="shared" si="34"/>
        <v>5.799999999999998</v>
      </c>
      <c r="D5971" t="str">
        <f>C829</f>
        <v>Show</v>
      </c>
      <c r="E5971" t="str">
        <f>C1145</f>
        <v>Show</v>
      </c>
      <c r="F5971" t="str">
        <f>C1516</f>
        <v>Show</v>
      </c>
      <c r="G5971"/>
      <c r="H5971" s="8"/>
    </row>
    <row r="5972" spans="3:8" hidden="1">
      <c r="C5972" s="2">
        <f t="shared" si="34"/>
        <v>5.8999999999999977</v>
      </c>
      <c r="D5972" t="str">
        <f>C836</f>
        <v>Show</v>
      </c>
      <c r="E5972" t="str">
        <f>C1147</f>
        <v>Show</v>
      </c>
      <c r="F5972" t="str">
        <f>C1527</f>
        <v>Show</v>
      </c>
      <c r="G5972"/>
      <c r="H5972" s="8"/>
    </row>
    <row r="5973" spans="3:8" hidden="1">
      <c r="C5973" s="2">
        <v>6.1</v>
      </c>
      <c r="D5973" s="65"/>
      <c r="E5973" t="str">
        <f>C1151</f>
        <v>Show</v>
      </c>
      <c r="F5973" s="65"/>
      <c r="G5973"/>
      <c r="H5973" s="8"/>
    </row>
    <row r="5974" spans="3:8" hidden="1">
      <c r="C5974" s="2">
        <f>C5973+0.1</f>
        <v>6.1999999999999993</v>
      </c>
      <c r="D5974" t="str">
        <f>C840</f>
        <v>Show</v>
      </c>
      <c r="E5974" t="str">
        <f>C1153</f>
        <v>Show</v>
      </c>
      <c r="F5974" t="str">
        <f>C1535</f>
        <v>Show</v>
      </c>
      <c r="G5974"/>
      <c r="H5974" s="8"/>
    </row>
    <row r="5975" spans="3:8" hidden="1">
      <c r="C5975" s="2">
        <f t="shared" ref="C5975:C5977" si="35">C5974+0.1</f>
        <v>6.2999999999999989</v>
      </c>
      <c r="D5975" t="str">
        <f>C848</f>
        <v>Show</v>
      </c>
      <c r="E5975" s="65"/>
      <c r="F5975" t="str">
        <f>C1549</f>
        <v>Show</v>
      </c>
      <c r="G5975"/>
      <c r="H5975" s="8"/>
    </row>
    <row r="5976" spans="3:8" hidden="1">
      <c r="C5976" s="2">
        <f t="shared" si="35"/>
        <v>6.3999999999999986</v>
      </c>
      <c r="D5976" t="s">
        <v>2699</v>
      </c>
      <c r="E5976" t="s">
        <v>2699</v>
      </c>
      <c r="F5976" t="s">
        <v>2699</v>
      </c>
      <c r="G5976"/>
      <c r="H5976" s="8"/>
    </row>
    <row r="5977" spans="3:8" hidden="1">
      <c r="C5977" s="2">
        <f t="shared" si="35"/>
        <v>6.4999999999999982</v>
      </c>
      <c r="D5977" t="str">
        <f>C868</f>
        <v>Show</v>
      </c>
      <c r="E5977" s="65"/>
      <c r="F5977" t="str">
        <f>C1563</f>
        <v>Show</v>
      </c>
      <c r="G5977"/>
      <c r="H5977" s="8"/>
    </row>
    <row r="5978" spans="3:8" hidden="1">
      <c r="C5978" s="2">
        <v>7.1</v>
      </c>
      <c r="D5978" t="str">
        <f>C871</f>
        <v>Show</v>
      </c>
      <c r="E5978" s="65"/>
      <c r="F5978" t="str">
        <f>C1570</f>
        <v>Show</v>
      </c>
      <c r="G5978"/>
      <c r="H5978" s="8"/>
    </row>
    <row r="5979" spans="3:8" hidden="1">
      <c r="C5979" s="2">
        <f>C5978+0.1</f>
        <v>7.1999999999999993</v>
      </c>
      <c r="D5979" t="str">
        <f>C878</f>
        <v>Show</v>
      </c>
      <c r="E5979" t="str">
        <f>C1193</f>
        <v>Show</v>
      </c>
      <c r="F5979" t="str">
        <f>C1577</f>
        <v>Show</v>
      </c>
      <c r="G5979"/>
      <c r="H5979" s="8"/>
    </row>
    <row r="5980" spans="3:8" hidden="1">
      <c r="C5980" s="2">
        <f t="shared" ref="C5980:C5985" si="36">C5979+0.1</f>
        <v>7.2999999999999989</v>
      </c>
      <c r="D5980" t="s">
        <v>2699</v>
      </c>
      <c r="E5980" t="str">
        <f>C1196</f>
        <v>Show</v>
      </c>
      <c r="F5980" t="s">
        <v>2699</v>
      </c>
      <c r="G5980"/>
      <c r="H5980" s="8"/>
    </row>
    <row r="5981" spans="3:8" hidden="1">
      <c r="C5981" s="2">
        <f t="shared" si="36"/>
        <v>7.3999999999999986</v>
      </c>
      <c r="D5981" s="65"/>
      <c r="E5981" s="65"/>
      <c r="F5981" s="65"/>
      <c r="G5981"/>
      <c r="H5981" s="8"/>
    </row>
    <row r="5982" spans="3:8" hidden="1">
      <c r="C5982" s="2">
        <f t="shared" si="36"/>
        <v>7.4999999999999982</v>
      </c>
      <c r="D5982" t="str">
        <f>C885</f>
        <v>Show</v>
      </c>
      <c r="E5982" t="str">
        <f>C1198</f>
        <v>Show</v>
      </c>
      <c r="F5982" t="str">
        <f>C1587</f>
        <v>Show</v>
      </c>
      <c r="G5982"/>
      <c r="H5982" s="8"/>
    </row>
    <row r="5983" spans="3:8" hidden="1">
      <c r="C5983" s="2">
        <f t="shared" si="36"/>
        <v>7.5999999999999979</v>
      </c>
      <c r="D5983" t="str">
        <f>C892</f>
        <v>Show</v>
      </c>
      <c r="E5983" t="str">
        <f>C1205</f>
        <v>Show</v>
      </c>
      <c r="F5983" s="65"/>
      <c r="G5983"/>
      <c r="H5983" s="8"/>
    </row>
    <row r="5984" spans="3:8" hidden="1">
      <c r="C5984" s="2">
        <f t="shared" si="36"/>
        <v>7.6999999999999975</v>
      </c>
      <c r="D5984" t="str">
        <f>C894</f>
        <v>Show</v>
      </c>
      <c r="E5984" t="str">
        <f>C1207</f>
        <v>Show</v>
      </c>
      <c r="F5984" t="str">
        <f>C1596</f>
        <v>Show</v>
      </c>
      <c r="G5984"/>
      <c r="H5984" s="8"/>
    </row>
    <row r="5985" spans="3:8" hidden="1">
      <c r="C5985" s="2">
        <f t="shared" si="36"/>
        <v>7.7999999999999972</v>
      </c>
      <c r="D5985" t="str">
        <f>C896</f>
        <v>Show</v>
      </c>
      <c r="E5985" t="str">
        <f>C1209</f>
        <v>Show</v>
      </c>
      <c r="F5985" t="str">
        <f>C1600</f>
        <v>Show</v>
      </c>
      <c r="G5985"/>
      <c r="H5985" s="8"/>
    </row>
    <row r="5986" spans="3:8" hidden="1">
      <c r="C5986" s="25" t="s">
        <v>2783</v>
      </c>
      <c r="D5986" t="str">
        <f>C904</f>
        <v>Show</v>
      </c>
      <c r="E5986" t="str">
        <f>C1214</f>
        <v>Show</v>
      </c>
      <c r="F5986" t="str">
        <f>C1606</f>
        <v>Show</v>
      </c>
      <c r="G5986"/>
      <c r="H5986" s="8"/>
    </row>
    <row r="5987" spans="3:8" hidden="1">
      <c r="C5987" s="25" t="s">
        <v>2784</v>
      </c>
      <c r="D5987" t="str">
        <f>C906</f>
        <v>Show</v>
      </c>
      <c r="E5987" s="65"/>
      <c r="F5987" t="str">
        <f>C1614</f>
        <v>Show</v>
      </c>
      <c r="G5987"/>
      <c r="H5987" s="8"/>
    </row>
    <row r="5988" spans="3:8" hidden="1">
      <c r="C5988" s="64" t="s">
        <v>2778</v>
      </c>
      <c r="D5988" t="str">
        <f>C908</f>
        <v>Show</v>
      </c>
      <c r="E5988" t="str">
        <f>C1217</f>
        <v>Show</v>
      </c>
      <c r="F5988" t="str">
        <f>C1622</f>
        <v>Show</v>
      </c>
      <c r="G5988"/>
      <c r="H5988" s="8"/>
    </row>
    <row r="5989" spans="3:8" hidden="1">
      <c r="C5989" s="64" t="s">
        <v>2779</v>
      </c>
      <c r="D5989" t="s">
        <v>2699</v>
      </c>
      <c r="E5989" t="s">
        <v>2699</v>
      </c>
      <c r="F5989" t="s">
        <v>2699</v>
      </c>
      <c r="G5989"/>
      <c r="H5989" s="8"/>
    </row>
    <row r="5990" spans="3:8" hidden="1">
      <c r="C5990" s="64" t="s">
        <v>2785</v>
      </c>
      <c r="D5990" t="str">
        <f>C912</f>
        <v>Show</v>
      </c>
      <c r="E5990" t="str">
        <f>C1224</f>
        <v>Show</v>
      </c>
      <c r="F5990" s="65"/>
      <c r="G5990"/>
      <c r="H5990" s="8"/>
    </row>
    <row r="5991" spans="3:8" hidden="1">
      <c r="C5991" s="64" t="s">
        <v>2786</v>
      </c>
      <c r="D5991" t="str">
        <f>C917</f>
        <v>Show</v>
      </c>
      <c r="E5991" t="str">
        <f>C1229</f>
        <v>Show</v>
      </c>
      <c r="F5991" t="str">
        <f>C1629</f>
        <v>Show</v>
      </c>
      <c r="G5991"/>
      <c r="H5991" s="8"/>
    </row>
    <row r="5992" spans="3:8" hidden="1">
      <c r="C5992" s="64" t="s">
        <v>2780</v>
      </c>
      <c r="D5992" t="str">
        <f>C924</f>
        <v>Show</v>
      </c>
      <c r="E5992" t="str">
        <f>C1236</f>
        <v>Show</v>
      </c>
      <c r="F5992" t="str">
        <f>C1633</f>
        <v>Show</v>
      </c>
      <c r="G5992"/>
      <c r="H5992" s="8"/>
    </row>
    <row r="5993" spans="3:8" hidden="1">
      <c r="C5993" s="2">
        <v>7.14</v>
      </c>
      <c r="D5993" t="str">
        <f>C929</f>
        <v>Show</v>
      </c>
      <c r="E5993" t="str">
        <f>C1240</f>
        <v>Show</v>
      </c>
      <c r="F5993" t="str">
        <f>C1645</f>
        <v>Show</v>
      </c>
      <c r="G5993"/>
      <c r="H5993" s="8"/>
    </row>
    <row r="5994" spans="3:8" hidden="1">
      <c r="C5994" s="2">
        <v>7.15</v>
      </c>
      <c r="D5994" t="str">
        <f>C943</f>
        <v>Show</v>
      </c>
      <c r="E5994" t="str">
        <f>C1252</f>
        <v>Show</v>
      </c>
      <c r="F5994" t="str">
        <f>C1658</f>
        <v>Show</v>
      </c>
      <c r="G5994"/>
      <c r="H5994" s="8"/>
    </row>
    <row r="5995" spans="3:8" hidden="1">
      <c r="C5995" s="2">
        <v>7.16</v>
      </c>
      <c r="D5995" t="str">
        <f>C947</f>
        <v>Show</v>
      </c>
      <c r="E5995" t="str">
        <f>C1256</f>
        <v>Show</v>
      </c>
      <c r="F5995" t="str">
        <f>C1665</f>
        <v>Show</v>
      </c>
      <c r="G5995"/>
      <c r="H5995" s="8"/>
    </row>
    <row r="5996" spans="3:8" hidden="1">
      <c r="C5996" s="2">
        <v>7.17</v>
      </c>
      <c r="D5996" t="str">
        <f>C950</f>
        <v>Show</v>
      </c>
      <c r="E5996" t="str">
        <f>C1259</f>
        <v>Show</v>
      </c>
      <c r="F5996" t="str">
        <f>C1668</f>
        <v>Show</v>
      </c>
      <c r="G5996"/>
      <c r="H5996" s="8"/>
    </row>
    <row r="5997" spans="3:8" hidden="1">
      <c r="C5997" s="2">
        <v>7.18</v>
      </c>
      <c r="D5997" s="65"/>
      <c r="E5997" s="65"/>
      <c r="F5997" s="65"/>
      <c r="G5997"/>
      <c r="H5997" s="8"/>
    </row>
    <row r="5998" spans="3:8" hidden="1">
      <c r="C5998" s="2">
        <v>8.1</v>
      </c>
      <c r="D5998" t="str">
        <f>C956</f>
        <v>Show</v>
      </c>
      <c r="E5998" s="65"/>
      <c r="F5998" s="65"/>
      <c r="G5998"/>
      <c r="H5998" s="8"/>
    </row>
    <row r="5999" spans="3:8" hidden="1">
      <c r="C5999" s="2">
        <f>C5998+0.1</f>
        <v>8.1999999999999993</v>
      </c>
      <c r="D5999" t="str">
        <f>C970</f>
        <v>Show</v>
      </c>
      <c r="E5999" s="65"/>
      <c r="F5999" s="65"/>
      <c r="G5999"/>
      <c r="H5999" s="8"/>
    </row>
    <row r="6000" spans="3:8" hidden="1">
      <c r="C6000" s="2">
        <f t="shared" ref="C6000:C6002" si="37">C5999+0.1</f>
        <v>8.2999999999999989</v>
      </c>
      <c r="D6000" s="65"/>
      <c r="E6000" s="65"/>
      <c r="F6000" s="65"/>
      <c r="G6000"/>
      <c r="H6000" s="8"/>
    </row>
    <row r="6001" spans="3:8" hidden="1">
      <c r="C6001" s="2">
        <f t="shared" si="37"/>
        <v>8.3999999999999986</v>
      </c>
      <c r="D6001" t="str">
        <f>C972</f>
        <v>Show</v>
      </c>
      <c r="E6001" s="65"/>
      <c r="F6001" t="str">
        <f>C1674</f>
        <v>Show</v>
      </c>
      <c r="G6001"/>
      <c r="H6001" s="8"/>
    </row>
    <row r="6002" spans="3:8" hidden="1">
      <c r="C6002" s="2">
        <f t="shared" si="37"/>
        <v>8.4999999999999982</v>
      </c>
      <c r="D6002" t="str">
        <f>C974</f>
        <v>Show</v>
      </c>
      <c r="E6002" s="65"/>
      <c r="F6002" t="str">
        <f>C1676</f>
        <v>Show</v>
      </c>
      <c r="G6002"/>
      <c r="H6002" s="8"/>
    </row>
    <row r="6003" spans="3:8" hidden="1">
      <c r="C6003" s="2"/>
      <c r="D6003"/>
      <c r="E6003"/>
      <c r="F6003"/>
      <c r="G6003"/>
      <c r="H6003" s="8"/>
    </row>
  </sheetData>
  <sheetProtection sheet="1" formatColumns="0" formatRows="0" insertColumns="0" insertRows="0" deleteColumns="0" deleteRows="0" sort="0" autoFilter="0" pivotTables="0"/>
  <autoFilter ref="C10:C5839" xr:uid="{BBEE6138-34D8-4924-AB83-E5251953FDD0}"/>
  <sortState xmlns:xlrd2="http://schemas.microsoft.com/office/spreadsheetml/2017/richdata2" ref="G402:H435">
    <sortCondition ref="G402:G435"/>
  </sortState>
  <phoneticPr fontId="18" type="noConversion"/>
  <conditionalFormatting sqref="B11:B5839">
    <cfRule type="notContainsBlanks" dxfId="7" priority="144">
      <formula>LEN(TRIM(B11))&gt;0</formula>
    </cfRule>
    <cfRule type="containsBlanks" dxfId="6" priority="145">
      <formula>LEN(TRIM(B11))=0</formula>
    </cfRule>
  </conditionalFormatting>
  <conditionalFormatting sqref="C11:C5839">
    <cfRule type="containsText" dxfId="5" priority="44" operator="containsText" text="Hide">
      <formula>NOT(ISERROR(SEARCH("Hide",C11)))</formula>
    </cfRule>
    <cfRule type="containsText" dxfId="4" priority="45" operator="containsText" text="Show">
      <formula>NOT(ISERROR(SEARCH("Show",C11)))</formula>
    </cfRule>
    <cfRule type="containsBlanks" dxfId="3" priority="146">
      <formula>LEN(TRIM(C11))=0</formula>
    </cfRule>
  </conditionalFormatting>
  <conditionalFormatting sqref="C5606">
    <cfRule type="containsText" dxfId="2" priority="10" operator="containsText" text="Hide">
      <formula>NOT(ISERROR(SEARCH("Hide",C5606)))</formula>
    </cfRule>
    <cfRule type="containsText" dxfId="1" priority="11" operator="containsText" text="Show">
      <formula>NOT(ISERROR(SEARCH("Show",C5606)))</formula>
    </cfRule>
    <cfRule type="containsBlanks" dxfId="0" priority="12">
      <formula>LEN(TRIM(C5606))=0</formula>
    </cfRule>
  </conditionalFormatting>
  <printOptions horizontalCentered="1" verticalCentered="1"/>
  <pageMargins left="0.7" right="0.7" top="0.75" bottom="0.75" header="0.3" footer="0.3"/>
  <pageSetup scale="89" fitToHeight="0" orientation="portrait" r:id="rId1"/>
  <ignoredErrors>
    <ignoredError sqref="E189 E175 E144 E114 E126 E130 E146 E158" twoDigitTextYear="1"/>
    <ignoredError sqref="F618:F619 F638:F639 F1337 F642 F977:F979 F667 F778 F1071:F1073 F1110 F990:F995 F997:F998 F1146 F1263:F1267 F1290:F1294 F654:F659 F985 F987 F1008:F1011 F1314 F1306:F1310 F661:F663 F669:F671 F673:F674 F676:F677 F747:F749 F756 F764 F767:F772 F1000 F1003:F1006 F1077:F1079 F1081 F1086:F1090 F1092:F1095 F1097:F1102 F1316:F1317 F1319:F1321 F1323:F1334 F1297:F1304 F981:F983 F736:F742 F646:F651 F679:F681 F685 F683 F744:F745 F758 F1083:F1084 F752:F754 F759:F76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5366E-375E-4555-892C-F5E018FEB09C}">
  <dimension ref="A1:D389"/>
  <sheetViews>
    <sheetView zoomScaleNormal="100" workbookViewId="0"/>
  </sheetViews>
  <sheetFormatPr defaultColWidth="8.85546875" defaultRowHeight="18.75"/>
  <cols>
    <col min="1" max="1" width="7.7109375" style="155" customWidth="1"/>
    <col min="2" max="2" width="44.7109375" style="155" customWidth="1"/>
    <col min="3" max="3" width="65" style="374" customWidth="1"/>
    <col min="4" max="4" width="43.28515625" style="155" customWidth="1"/>
    <col min="5" max="8" width="8.85546875" style="155"/>
    <col min="9" max="9" width="8.140625" style="155" customWidth="1"/>
    <col min="10" max="16384" width="8.85546875" style="155"/>
  </cols>
  <sheetData>
    <row r="1" spans="2:4" ht="9.9499999999999993" customHeight="1"/>
    <row r="2" spans="2:4" s="198" customFormat="1" ht="23.25">
      <c r="B2" s="186" t="s">
        <v>531</v>
      </c>
      <c r="C2" s="375"/>
    </row>
    <row r="3" spans="2:4" ht="9.9499999999999993" customHeight="1"/>
    <row r="4" spans="2:4" ht="24" customHeight="1">
      <c r="B4" s="376" t="s">
        <v>3494</v>
      </c>
      <c r="C4" s="377"/>
    </row>
    <row r="5" spans="2:4">
      <c r="D5" s="378"/>
    </row>
    <row r="6" spans="2:4" ht="21">
      <c r="B6" s="398" t="s">
        <v>3067</v>
      </c>
      <c r="C6" s="379"/>
      <c r="D6" s="404" t="s">
        <v>3068</v>
      </c>
    </row>
    <row r="7" spans="2:4">
      <c r="B7" s="380" t="s">
        <v>0</v>
      </c>
      <c r="C7" s="283" t="s">
        <v>1</v>
      </c>
    </row>
    <row r="8" spans="2:4">
      <c r="B8" s="381"/>
      <c r="C8" s="283" t="s">
        <v>2</v>
      </c>
    </row>
    <row r="9" spans="2:4">
      <c r="B9" s="382"/>
      <c r="C9" s="283" t="s">
        <v>3</v>
      </c>
    </row>
    <row r="10" spans="2:4">
      <c r="B10" s="306" t="s">
        <v>865</v>
      </c>
      <c r="C10" s="283" t="s">
        <v>4</v>
      </c>
    </row>
    <row r="11" spans="2:4">
      <c r="B11" s="382"/>
      <c r="C11" s="283" t="s">
        <v>5</v>
      </c>
    </row>
    <row r="12" spans="2:4">
      <c r="B12" s="383"/>
      <c r="C12" s="283" t="s">
        <v>866</v>
      </c>
    </row>
    <row r="13" spans="2:4">
      <c r="B13" s="380" t="s">
        <v>6</v>
      </c>
      <c r="C13" s="283" t="str">
        <f>IF(OR('1. Criteria &amp; Spec Matrix'!D5='3. Dropdowns'!C8,'1. Criteria &amp; Spec Matrix'!D5='3. Dropdowns'!C9),"","New Construction")</f>
        <v>New Construction</v>
      </c>
      <c r="D13" s="292" t="s">
        <v>1</v>
      </c>
    </row>
    <row r="14" spans="2:4">
      <c r="B14" s="380"/>
      <c r="C14" s="283" t="str">
        <f>IF('1. Criteria &amp; Spec Matrix'!D5='3. Dropdowns'!C7,"","Pre-1978")</f>
        <v>Pre-1978</v>
      </c>
      <c r="D14" s="292" t="s">
        <v>7</v>
      </c>
    </row>
    <row r="15" spans="2:4">
      <c r="B15" s="380"/>
      <c r="C15" s="283" t="str">
        <f>IF('1. Criteria &amp; Spec Matrix'!D5='3. Dropdowns'!C7,"","1978-1985")</f>
        <v>1978-1985</v>
      </c>
      <c r="D15" s="292" t="s">
        <v>8</v>
      </c>
    </row>
    <row r="16" spans="2:4">
      <c r="B16" s="384"/>
      <c r="C16" s="283" t="str">
        <f>IF('1. Criteria &amp; Spec Matrix'!D5='3. Dropdowns'!C7,"","1986 or later")</f>
        <v>1986 or later</v>
      </c>
      <c r="D16" s="292" t="s">
        <v>9</v>
      </c>
    </row>
    <row r="17" spans="2:3">
      <c r="B17" s="385" t="s">
        <v>10</v>
      </c>
      <c r="C17" s="283" t="s">
        <v>11</v>
      </c>
    </row>
    <row r="18" spans="2:3">
      <c r="B18" s="380"/>
      <c r="C18" s="283" t="s">
        <v>12</v>
      </c>
    </row>
    <row r="19" spans="2:3">
      <c r="B19" s="380"/>
      <c r="C19" s="283" t="s">
        <v>13</v>
      </c>
    </row>
    <row r="20" spans="2:3">
      <c r="B20" s="384"/>
      <c r="C20" s="283" t="s">
        <v>14</v>
      </c>
    </row>
    <row r="21" spans="2:3">
      <c r="B21" s="385" t="s">
        <v>15</v>
      </c>
      <c r="C21" s="283" t="s">
        <v>16</v>
      </c>
    </row>
    <row r="22" spans="2:3">
      <c r="B22" s="382"/>
      <c r="C22" s="283" t="s">
        <v>17</v>
      </c>
    </row>
    <row r="23" spans="2:3">
      <c r="B23" s="382"/>
      <c r="C23" s="283" t="s">
        <v>18</v>
      </c>
    </row>
    <row r="24" spans="2:3">
      <c r="B24" s="382"/>
      <c r="C24" s="283" t="s">
        <v>19</v>
      </c>
    </row>
    <row r="25" spans="2:3">
      <c r="B25" s="382"/>
      <c r="C25" s="283" t="s">
        <v>20</v>
      </c>
    </row>
    <row r="26" spans="2:3">
      <c r="B26" s="382"/>
      <c r="C26" s="283" t="s">
        <v>21</v>
      </c>
    </row>
    <row r="27" spans="2:3">
      <c r="B27" s="382"/>
      <c r="C27" s="283" t="s">
        <v>22</v>
      </c>
    </row>
    <row r="28" spans="2:3">
      <c r="B28" s="382"/>
      <c r="C28" s="283" t="s">
        <v>23</v>
      </c>
    </row>
    <row r="29" spans="2:3">
      <c r="B29" s="382"/>
      <c r="C29" s="283" t="s">
        <v>24</v>
      </c>
    </row>
    <row r="30" spans="2:3">
      <c r="B30" s="382"/>
      <c r="C30" s="283" t="s">
        <v>25</v>
      </c>
    </row>
    <row r="31" spans="2:3">
      <c r="B31" s="382"/>
      <c r="C31" s="283" t="s">
        <v>26</v>
      </c>
    </row>
    <row r="32" spans="2:3">
      <c r="B32" s="382"/>
      <c r="C32" s="283" t="s">
        <v>27</v>
      </c>
    </row>
    <row r="33" spans="2:3">
      <c r="B33" s="382"/>
      <c r="C33" s="283" t="s">
        <v>28</v>
      </c>
    </row>
    <row r="34" spans="2:3">
      <c r="B34" s="382"/>
      <c r="C34" s="283" t="s">
        <v>29</v>
      </c>
    </row>
    <row r="35" spans="2:3">
      <c r="B35" s="382"/>
      <c r="C35" s="386" t="s">
        <v>30</v>
      </c>
    </row>
    <row r="36" spans="2:3">
      <c r="B36" s="383"/>
      <c r="C36" s="386" t="s">
        <v>31</v>
      </c>
    </row>
    <row r="37" spans="2:3">
      <c r="B37" s="385" t="s">
        <v>32</v>
      </c>
      <c r="C37" s="283" t="s">
        <v>33</v>
      </c>
    </row>
    <row r="38" spans="2:3">
      <c r="B38" s="382"/>
      <c r="C38" s="283" t="s">
        <v>34</v>
      </c>
    </row>
    <row r="39" spans="2:3">
      <c r="B39" s="383"/>
      <c r="C39" s="283" t="s">
        <v>35</v>
      </c>
    </row>
    <row r="40" spans="2:3">
      <c r="B40" s="306" t="s">
        <v>403</v>
      </c>
      <c r="C40" s="283" t="s">
        <v>404</v>
      </c>
    </row>
    <row r="41" spans="2:3">
      <c r="B41" s="383"/>
      <c r="C41" s="283" t="s">
        <v>405</v>
      </c>
    </row>
    <row r="42" spans="2:3" ht="37.5">
      <c r="B42" s="306" t="s">
        <v>36</v>
      </c>
      <c r="C42" s="283" t="s">
        <v>3008</v>
      </c>
    </row>
    <row r="43" spans="2:3">
      <c r="B43" s="382"/>
      <c r="C43" s="283" t="s">
        <v>3009</v>
      </c>
    </row>
    <row r="44" spans="2:3" ht="37.5">
      <c r="B44" s="306" t="s">
        <v>37</v>
      </c>
      <c r="C44" s="283" t="s">
        <v>38</v>
      </c>
    </row>
    <row r="45" spans="2:3">
      <c r="B45" s="383"/>
      <c r="C45" s="283" t="s">
        <v>39</v>
      </c>
    </row>
    <row r="46" spans="2:3" ht="37.5">
      <c r="B46" s="306" t="s">
        <v>3029</v>
      </c>
      <c r="C46" s="283" t="s">
        <v>40</v>
      </c>
    </row>
    <row r="47" spans="2:3" ht="37.5">
      <c r="B47" s="383"/>
      <c r="C47" s="283" t="s">
        <v>41</v>
      </c>
    </row>
    <row r="48" spans="2:3">
      <c r="B48" s="382" t="s">
        <v>2020</v>
      </c>
      <c r="C48" s="283" t="s">
        <v>2021</v>
      </c>
    </row>
    <row r="49" spans="2:3">
      <c r="B49" s="382"/>
      <c r="C49" s="283" t="s">
        <v>2022</v>
      </c>
    </row>
    <row r="50" spans="2:3">
      <c r="B50" s="382"/>
      <c r="C50" s="283" t="s">
        <v>2023</v>
      </c>
    </row>
    <row r="51" spans="2:3">
      <c r="B51" s="310" t="s">
        <v>2027</v>
      </c>
      <c r="C51" s="283" t="s">
        <v>2028</v>
      </c>
    </row>
    <row r="52" spans="2:3">
      <c r="B52" s="382"/>
      <c r="C52" s="283" t="s">
        <v>2029</v>
      </c>
    </row>
    <row r="53" spans="2:3">
      <c r="B53" s="382"/>
      <c r="C53" s="283" t="s">
        <v>2030</v>
      </c>
    </row>
    <row r="54" spans="2:3">
      <c r="B54" s="382"/>
      <c r="C54" s="283" t="s">
        <v>2031</v>
      </c>
    </row>
    <row r="55" spans="2:3" ht="37.5">
      <c r="B55" s="382"/>
      <c r="C55" s="283" t="s">
        <v>2032</v>
      </c>
    </row>
    <row r="56" spans="2:3" ht="37.5">
      <c r="B56" s="382"/>
      <c r="C56" s="283" t="s">
        <v>2033</v>
      </c>
    </row>
    <row r="57" spans="2:3">
      <c r="B57" s="382"/>
      <c r="C57" s="283" t="s">
        <v>2034</v>
      </c>
    </row>
    <row r="58" spans="2:3" ht="37.5">
      <c r="B58" s="382"/>
      <c r="C58" s="283" t="s">
        <v>2035</v>
      </c>
    </row>
    <row r="59" spans="2:3">
      <c r="B59" s="310" t="s">
        <v>2027</v>
      </c>
      <c r="C59" s="387" t="s">
        <v>1400</v>
      </c>
    </row>
    <row r="60" spans="2:3">
      <c r="B60" s="382"/>
      <c r="C60" s="387" t="s">
        <v>992</v>
      </c>
    </row>
    <row r="61" spans="2:3">
      <c r="B61" s="306" t="s">
        <v>42</v>
      </c>
      <c r="C61" s="283" t="s">
        <v>43</v>
      </c>
    </row>
    <row r="62" spans="2:3">
      <c r="B62" s="383"/>
      <c r="C62" s="283" t="s">
        <v>44</v>
      </c>
    </row>
    <row r="63" spans="2:3">
      <c r="B63" s="306" t="s">
        <v>45</v>
      </c>
      <c r="C63" s="283" t="s">
        <v>46</v>
      </c>
    </row>
    <row r="64" spans="2:3" ht="37.5">
      <c r="B64" s="383"/>
      <c r="C64" s="283" t="s">
        <v>47</v>
      </c>
    </row>
    <row r="65" spans="2:3">
      <c r="B65" s="382" t="s">
        <v>2041</v>
      </c>
      <c r="C65" s="283" t="s">
        <v>2042</v>
      </c>
    </row>
    <row r="66" spans="2:3">
      <c r="B66" s="382"/>
      <c r="C66" s="283" t="s">
        <v>2043</v>
      </c>
    </row>
    <row r="67" spans="2:3" ht="37.5">
      <c r="B67" s="306" t="s">
        <v>48</v>
      </c>
      <c r="C67" s="283" t="s">
        <v>49</v>
      </c>
    </row>
    <row r="68" spans="2:3">
      <c r="B68" s="383"/>
      <c r="C68" s="283" t="s">
        <v>50</v>
      </c>
    </row>
    <row r="69" spans="2:3">
      <c r="B69" s="306" t="s">
        <v>51</v>
      </c>
      <c r="C69" s="283" t="s">
        <v>52</v>
      </c>
    </row>
    <row r="70" spans="2:3" ht="37.5">
      <c r="B70" s="382"/>
      <c r="C70" s="283" t="s">
        <v>2424</v>
      </c>
    </row>
    <row r="71" spans="2:3" ht="37.5">
      <c r="B71" s="382"/>
      <c r="C71" s="283" t="s">
        <v>2425</v>
      </c>
    </row>
    <row r="72" spans="2:3" ht="37.5">
      <c r="B72" s="383"/>
      <c r="C72" s="283" t="s">
        <v>53</v>
      </c>
    </row>
    <row r="73" spans="2:3">
      <c r="B73" s="306" t="s">
        <v>54</v>
      </c>
      <c r="C73" s="283" t="s">
        <v>55</v>
      </c>
    </row>
    <row r="74" spans="2:3">
      <c r="B74" s="382"/>
      <c r="C74" s="283" t="s">
        <v>56</v>
      </c>
    </row>
    <row r="75" spans="2:3">
      <c r="B75" s="382"/>
      <c r="C75" s="283" t="s">
        <v>57</v>
      </c>
    </row>
    <row r="76" spans="2:3">
      <c r="B76" s="382"/>
      <c r="C76" s="283" t="s">
        <v>58</v>
      </c>
    </row>
    <row r="77" spans="2:3">
      <c r="B77" s="382"/>
      <c r="C77" s="283" t="s">
        <v>59</v>
      </c>
    </row>
    <row r="78" spans="2:3" ht="37.5">
      <c r="B78" s="306" t="s">
        <v>98</v>
      </c>
      <c r="C78" s="283" t="s">
        <v>409</v>
      </c>
    </row>
    <row r="79" spans="2:3" ht="37.5">
      <c r="B79" s="382"/>
      <c r="C79" s="283" t="s">
        <v>410</v>
      </c>
    </row>
    <row r="80" spans="2:3">
      <c r="B80" s="382"/>
      <c r="C80" s="283" t="s">
        <v>411</v>
      </c>
    </row>
    <row r="81" spans="1:3">
      <c r="B81" s="383"/>
      <c r="C81" s="283" t="s">
        <v>412</v>
      </c>
    </row>
    <row r="82" spans="1:3" ht="37.5">
      <c r="B82" s="306" t="s">
        <v>60</v>
      </c>
      <c r="C82" s="283" t="s">
        <v>61</v>
      </c>
    </row>
    <row r="83" spans="1:3">
      <c r="B83" s="382"/>
      <c r="C83" s="283" t="s">
        <v>62</v>
      </c>
    </row>
    <row r="84" spans="1:3">
      <c r="B84" s="382"/>
      <c r="C84" s="283" t="s">
        <v>63</v>
      </c>
    </row>
    <row r="85" spans="1:3">
      <c r="B85" s="383"/>
      <c r="C85" s="283" t="s">
        <v>64</v>
      </c>
    </row>
    <row r="86" spans="1:3" ht="37.5">
      <c r="B86" s="306" t="s">
        <v>65</v>
      </c>
      <c r="C86" s="283" t="s">
        <v>61</v>
      </c>
    </row>
    <row r="87" spans="1:3" ht="37.5">
      <c r="B87" s="382"/>
      <c r="C87" s="283" t="s">
        <v>66</v>
      </c>
    </row>
    <row r="88" spans="1:3">
      <c r="B88" s="382"/>
      <c r="C88" s="283" t="s">
        <v>67</v>
      </c>
    </row>
    <row r="89" spans="1:3" ht="37.5">
      <c r="B89" s="382"/>
      <c r="C89" s="283" t="s">
        <v>745</v>
      </c>
    </row>
    <row r="90" spans="1:3" ht="37.5">
      <c r="B90" s="383"/>
      <c r="C90" s="283" t="s">
        <v>746</v>
      </c>
    </row>
    <row r="91" spans="1:3">
      <c r="B91" s="306" t="s">
        <v>68</v>
      </c>
      <c r="C91" s="283" t="s">
        <v>684</v>
      </c>
    </row>
    <row r="92" spans="1:3">
      <c r="B92" s="382"/>
      <c r="C92" s="283" t="s">
        <v>685</v>
      </c>
    </row>
    <row r="93" spans="1:3" ht="37.5">
      <c r="B93" s="306" t="s">
        <v>69</v>
      </c>
      <c r="C93" s="283" t="s">
        <v>688</v>
      </c>
    </row>
    <row r="94" spans="1:3">
      <c r="A94" s="388"/>
      <c r="B94" s="389"/>
      <c r="C94" s="283" t="s">
        <v>687</v>
      </c>
    </row>
    <row r="95" spans="1:3" ht="37.5">
      <c r="B95" s="306" t="s">
        <v>71</v>
      </c>
      <c r="C95" s="283" t="s">
        <v>692</v>
      </c>
    </row>
    <row r="96" spans="1:3">
      <c r="B96" s="382"/>
      <c r="C96" s="283" t="s">
        <v>693</v>
      </c>
    </row>
    <row r="97" spans="2:3" ht="37.5">
      <c r="B97" s="306" t="s">
        <v>73</v>
      </c>
      <c r="C97" s="283" t="s">
        <v>70</v>
      </c>
    </row>
    <row r="98" spans="2:3">
      <c r="B98" s="382"/>
      <c r="C98" s="283" t="s">
        <v>74</v>
      </c>
    </row>
    <row r="99" spans="2:3">
      <c r="B99" s="382"/>
      <c r="C99" s="283" t="s">
        <v>75</v>
      </c>
    </row>
    <row r="100" spans="2:3">
      <c r="B100" s="382"/>
      <c r="C100" s="283" t="s">
        <v>76</v>
      </c>
    </row>
    <row r="101" spans="2:3">
      <c r="B101" s="382"/>
      <c r="C101" s="283" t="s">
        <v>77</v>
      </c>
    </row>
    <row r="102" spans="2:3">
      <c r="B102" s="382"/>
      <c r="C102" s="283" t="s">
        <v>78</v>
      </c>
    </row>
    <row r="103" spans="2:3">
      <c r="B103" s="383"/>
      <c r="C103" s="283" t="s">
        <v>79</v>
      </c>
    </row>
    <row r="104" spans="2:3" ht="30" customHeight="1">
      <c r="B104" s="306" t="s">
        <v>80</v>
      </c>
      <c r="C104" s="283" t="s">
        <v>70</v>
      </c>
    </row>
    <row r="105" spans="2:3">
      <c r="B105" s="382"/>
      <c r="C105" s="283" t="s">
        <v>81</v>
      </c>
    </row>
    <row r="106" spans="2:3">
      <c r="B106" s="382"/>
      <c r="C106" s="283" t="s">
        <v>82</v>
      </c>
    </row>
    <row r="107" spans="2:3">
      <c r="B107" s="382"/>
      <c r="C107" s="283" t="s">
        <v>83</v>
      </c>
    </row>
    <row r="108" spans="2:3">
      <c r="B108" s="382"/>
      <c r="C108" s="283" t="s">
        <v>84</v>
      </c>
    </row>
    <row r="109" spans="2:3">
      <c r="B109" s="382"/>
      <c r="C109" s="283" t="s">
        <v>85</v>
      </c>
    </row>
    <row r="110" spans="2:3">
      <c r="B110" s="383"/>
      <c r="C110" s="283" t="s">
        <v>86</v>
      </c>
    </row>
    <row r="111" spans="2:3" ht="37.5">
      <c r="B111" s="306" t="s">
        <v>87</v>
      </c>
      <c r="C111" s="283" t="s">
        <v>72</v>
      </c>
    </row>
    <row r="112" spans="2:3">
      <c r="B112" s="383"/>
      <c r="C112" s="283" t="s">
        <v>712</v>
      </c>
    </row>
    <row r="113" spans="2:4" ht="37.5">
      <c r="B113" s="306" t="s">
        <v>87</v>
      </c>
      <c r="C113" s="283" t="s">
        <v>715</v>
      </c>
    </row>
    <row r="114" spans="2:4">
      <c r="B114" s="383"/>
      <c r="C114" s="283" t="s">
        <v>714</v>
      </c>
    </row>
    <row r="115" spans="2:4" ht="56.25">
      <c r="B115" s="306" t="s">
        <v>2422</v>
      </c>
      <c r="C115" s="283" t="s">
        <v>1757</v>
      </c>
    </row>
    <row r="116" spans="2:4">
      <c r="B116" s="382"/>
      <c r="C116" s="283" t="s">
        <v>1758</v>
      </c>
    </row>
    <row r="117" spans="2:4">
      <c r="B117" s="306" t="s">
        <v>88</v>
      </c>
      <c r="C117" s="283" t="s">
        <v>901</v>
      </c>
    </row>
    <row r="118" spans="2:4">
      <c r="B118" s="382"/>
      <c r="C118" s="283" t="s">
        <v>89</v>
      </c>
    </row>
    <row r="119" spans="2:4">
      <c r="B119" s="382"/>
      <c r="C119" s="283" t="s">
        <v>90</v>
      </c>
    </row>
    <row r="120" spans="2:4">
      <c r="B120" s="382"/>
      <c r="C120" s="283" t="s">
        <v>91</v>
      </c>
    </row>
    <row r="121" spans="2:4" ht="37.5">
      <c r="B121" s="306" t="s">
        <v>1955</v>
      </c>
      <c r="C121" s="283" t="s">
        <v>1956</v>
      </c>
    </row>
    <row r="122" spans="2:4">
      <c r="B122" s="382"/>
      <c r="C122" s="283" t="s">
        <v>1957</v>
      </c>
    </row>
    <row r="123" spans="2:4">
      <c r="B123" s="383"/>
      <c r="C123" s="283" t="s">
        <v>1958</v>
      </c>
    </row>
    <row r="124" spans="2:4">
      <c r="B124" s="382" t="s">
        <v>92</v>
      </c>
      <c r="C124" s="283" t="s">
        <v>897</v>
      </c>
    </row>
    <row r="125" spans="2:4">
      <c r="B125" s="382"/>
      <c r="C125" s="283" t="s">
        <v>898</v>
      </c>
    </row>
    <row r="126" spans="2:4">
      <c r="B126" s="383"/>
      <c r="C126" s="283" t="s">
        <v>899</v>
      </c>
    </row>
    <row r="127" spans="2:4">
      <c r="B127" s="306" t="s">
        <v>103</v>
      </c>
      <c r="C127" s="283" t="str">
        <f>IF('1. Criteria &amp; Spec Matrix'!F5='3. Dropdowns'!C12,"","Criterion 4.2 not used")</f>
        <v>Criterion 4.2 not used</v>
      </c>
      <c r="D127" s="292" t="s">
        <v>900</v>
      </c>
    </row>
    <row r="128" spans="2:4" ht="37.5">
      <c r="B128" s="382"/>
      <c r="C128" s="283" t="s">
        <v>363</v>
      </c>
    </row>
    <row r="129" spans="2:3">
      <c r="B129" s="383"/>
      <c r="C129" s="283" t="s">
        <v>364</v>
      </c>
    </row>
    <row r="130" spans="2:3" ht="37.5">
      <c r="B130" s="306" t="s">
        <v>366</v>
      </c>
      <c r="C130" s="283" t="s">
        <v>369</v>
      </c>
    </row>
    <row r="131" spans="2:3">
      <c r="B131" s="383"/>
      <c r="C131" s="283" t="s">
        <v>368</v>
      </c>
    </row>
    <row r="132" spans="2:3" ht="37.5">
      <c r="B132" s="306" t="s">
        <v>372</v>
      </c>
      <c r="C132" s="283" t="s">
        <v>373</v>
      </c>
    </row>
    <row r="133" spans="2:3">
      <c r="B133" s="382"/>
      <c r="C133" s="283" t="s">
        <v>374</v>
      </c>
    </row>
    <row r="134" spans="2:3">
      <c r="B134" s="382"/>
      <c r="C134" s="283" t="s">
        <v>375</v>
      </c>
    </row>
    <row r="135" spans="2:3">
      <c r="B135" s="382"/>
      <c r="C135" s="283" t="s">
        <v>376</v>
      </c>
    </row>
    <row r="136" spans="2:3" ht="37.5">
      <c r="B136" s="382"/>
      <c r="C136" s="283" t="s">
        <v>377</v>
      </c>
    </row>
    <row r="137" spans="2:3">
      <c r="B137" s="382"/>
      <c r="C137" s="283" t="s">
        <v>378</v>
      </c>
    </row>
    <row r="138" spans="2:3">
      <c r="B138" s="383"/>
      <c r="C138" s="283" t="s">
        <v>379</v>
      </c>
    </row>
    <row r="139" spans="2:3" ht="37.5">
      <c r="B139" s="306" t="s">
        <v>104</v>
      </c>
      <c r="C139" s="283" t="s">
        <v>2066</v>
      </c>
    </row>
    <row r="140" spans="2:3">
      <c r="B140" s="382"/>
      <c r="C140" s="283" t="s">
        <v>390</v>
      </c>
    </row>
    <row r="141" spans="2:3" ht="37.5">
      <c r="B141" s="382"/>
      <c r="C141" s="283" t="s">
        <v>391</v>
      </c>
    </row>
    <row r="142" spans="2:3">
      <c r="B142" s="382"/>
      <c r="C142" s="283" t="s">
        <v>392</v>
      </c>
    </row>
    <row r="143" spans="2:3">
      <c r="B143" s="382"/>
      <c r="C143" s="283" t="s">
        <v>393</v>
      </c>
    </row>
    <row r="144" spans="2:3">
      <c r="B144" s="382"/>
      <c r="C144" s="283" t="s">
        <v>394</v>
      </c>
    </row>
    <row r="145" spans="2:3">
      <c r="B145" s="382"/>
      <c r="C145" s="283" t="s">
        <v>395</v>
      </c>
    </row>
    <row r="146" spans="2:3">
      <c r="B146" s="383"/>
      <c r="C146" s="283" t="s">
        <v>396</v>
      </c>
    </row>
    <row r="147" spans="2:3" ht="37.5">
      <c r="B147" s="306" t="s">
        <v>406</v>
      </c>
      <c r="C147" s="283" t="s">
        <v>416</v>
      </c>
    </row>
    <row r="148" spans="2:3" ht="37.5">
      <c r="B148" s="382"/>
      <c r="C148" s="283" t="s">
        <v>417</v>
      </c>
    </row>
    <row r="149" spans="2:3" ht="37.5">
      <c r="B149" s="383"/>
      <c r="C149" s="283" t="s">
        <v>418</v>
      </c>
    </row>
    <row r="150" spans="2:3" ht="56.25">
      <c r="B150" s="306" t="s">
        <v>429</v>
      </c>
      <c r="C150" s="283" t="s">
        <v>2073</v>
      </c>
    </row>
    <row r="151" spans="2:3">
      <c r="B151" s="382"/>
      <c r="C151" s="283" t="s">
        <v>430</v>
      </c>
    </row>
    <row r="152" spans="2:3">
      <c r="B152" s="382"/>
      <c r="C152" s="283" t="s">
        <v>431</v>
      </c>
    </row>
    <row r="153" spans="2:3" ht="37.5">
      <c r="B153" s="383"/>
      <c r="C153" s="283" t="s">
        <v>432</v>
      </c>
    </row>
    <row r="154" spans="2:3" ht="56.25">
      <c r="B154" s="306" t="s">
        <v>455</v>
      </c>
      <c r="C154" s="283" t="s">
        <v>2067</v>
      </c>
    </row>
    <row r="155" spans="2:3" ht="37.5">
      <c r="B155" s="382"/>
      <c r="C155" s="283" t="s">
        <v>454</v>
      </c>
    </row>
    <row r="156" spans="2:3" ht="37.5">
      <c r="B156" s="383"/>
      <c r="C156" s="283" t="s">
        <v>453</v>
      </c>
    </row>
    <row r="157" spans="2:3" ht="37.5">
      <c r="B157" s="306" t="s">
        <v>456</v>
      </c>
      <c r="C157" s="283" t="s">
        <v>2068</v>
      </c>
    </row>
    <row r="158" spans="2:3" ht="37.5">
      <c r="B158" s="382"/>
      <c r="C158" s="283" t="s">
        <v>2069</v>
      </c>
    </row>
    <row r="159" spans="2:3" ht="37.5">
      <c r="B159" s="306" t="s">
        <v>456</v>
      </c>
      <c r="C159" s="283" t="s">
        <v>2070</v>
      </c>
    </row>
    <row r="160" spans="2:3">
      <c r="B160" s="382"/>
      <c r="C160" s="283" t="s">
        <v>2071</v>
      </c>
    </row>
    <row r="161" spans="2:4" ht="37.5">
      <c r="B161" s="306" t="s">
        <v>105</v>
      </c>
      <c r="C161" s="283" t="str">
        <f>IF('1. Criteria &amp; Spec Matrix'!F5='3. Dropdowns'!C12,"","Criterion 4.5 not used.")</f>
        <v>Criterion 4.5 not used.</v>
      </c>
      <c r="D161" s="292" t="s">
        <v>3002</v>
      </c>
    </row>
    <row r="162" spans="2:4">
      <c r="B162" s="382"/>
      <c r="C162" s="283" t="s">
        <v>458</v>
      </c>
    </row>
    <row r="163" spans="2:4">
      <c r="B163" s="382"/>
      <c r="C163" s="283" t="s">
        <v>459</v>
      </c>
    </row>
    <row r="164" spans="2:4">
      <c r="B164" s="382"/>
      <c r="C164" s="283" t="s">
        <v>460</v>
      </c>
    </row>
    <row r="165" spans="2:4">
      <c r="B165" s="383"/>
      <c r="C165" s="283" t="s">
        <v>461</v>
      </c>
    </row>
    <row r="166" spans="2:4" ht="37.5">
      <c r="B166" s="306" t="s">
        <v>106</v>
      </c>
      <c r="C166" s="283" t="s">
        <v>475</v>
      </c>
    </row>
    <row r="167" spans="2:4" ht="37.5">
      <c r="B167" s="382"/>
      <c r="C167" s="283" t="s">
        <v>476</v>
      </c>
    </row>
    <row r="168" spans="2:4" ht="37.5">
      <c r="B168" s="382"/>
      <c r="C168" s="283" t="s">
        <v>477</v>
      </c>
    </row>
    <row r="169" spans="2:4" ht="37.5">
      <c r="B169" s="382"/>
      <c r="C169" s="283" t="s">
        <v>478</v>
      </c>
    </row>
    <row r="170" spans="2:4" ht="37.5">
      <c r="B170" s="383"/>
      <c r="C170" s="283" t="s">
        <v>479</v>
      </c>
    </row>
    <row r="171" spans="2:4" ht="37.5">
      <c r="B171" s="306" t="s">
        <v>107</v>
      </c>
      <c r="C171" s="283" t="s">
        <v>490</v>
      </c>
    </row>
    <row r="172" spans="2:4">
      <c r="B172" s="382"/>
      <c r="C172" s="283" t="s">
        <v>491</v>
      </c>
    </row>
    <row r="173" spans="2:4">
      <c r="B173" s="382"/>
      <c r="C173" s="283" t="s">
        <v>492</v>
      </c>
    </row>
    <row r="174" spans="2:4">
      <c r="B174" s="383"/>
      <c r="C174" s="283" t="s">
        <v>493</v>
      </c>
    </row>
    <row r="175" spans="2:4" ht="37.5">
      <c r="B175" s="306" t="s">
        <v>511</v>
      </c>
      <c r="C175" s="283" t="s">
        <v>513</v>
      </c>
    </row>
    <row r="176" spans="2:4" ht="37.5">
      <c r="B176" s="382"/>
      <c r="C176" s="283" t="s">
        <v>749</v>
      </c>
    </row>
    <row r="177" spans="2:4" ht="37.5">
      <c r="B177" s="382"/>
      <c r="C177" s="283" t="s">
        <v>2464</v>
      </c>
    </row>
    <row r="178" spans="2:4">
      <c r="B178" s="382"/>
      <c r="C178" s="283" t="s">
        <v>514</v>
      </c>
    </row>
    <row r="179" spans="2:4" ht="37.5">
      <c r="B179" s="382"/>
      <c r="C179" s="283" t="s">
        <v>515</v>
      </c>
    </row>
    <row r="180" spans="2:4" ht="37.5">
      <c r="B180" s="382"/>
      <c r="C180" s="283" t="s">
        <v>516</v>
      </c>
    </row>
    <row r="181" spans="2:4" ht="56.25">
      <c r="B181" s="382"/>
      <c r="C181" s="283" t="str">
        <f>IF('1. Criteria &amp; Spec Matrix'!F5='3. Dropdowns'!C12,"Project is following the NYC Prescriptive Pathway for Tenant in Place Rehabs","")</f>
        <v/>
      </c>
      <c r="D181" s="390" t="s">
        <v>3004</v>
      </c>
    </row>
    <row r="182" spans="2:4" ht="37.5">
      <c r="B182" s="306" t="s">
        <v>512</v>
      </c>
      <c r="C182" s="283" t="s">
        <v>517</v>
      </c>
    </row>
    <row r="183" spans="2:4">
      <c r="B183" s="382"/>
      <c r="C183" s="283" t="s">
        <v>518</v>
      </c>
    </row>
    <row r="184" spans="2:4" ht="37.5">
      <c r="B184" s="382"/>
      <c r="C184" s="283" t="s">
        <v>519</v>
      </c>
    </row>
    <row r="185" spans="2:4" ht="37.5">
      <c r="B185" s="306" t="s">
        <v>520</v>
      </c>
      <c r="C185" s="283" t="s">
        <v>3495</v>
      </c>
    </row>
    <row r="186" spans="2:4">
      <c r="B186" s="382"/>
      <c r="C186" s="283" t="s">
        <v>521</v>
      </c>
    </row>
    <row r="187" spans="2:4" ht="37.5">
      <c r="B187" s="382"/>
      <c r="C187" s="283" t="s">
        <v>522</v>
      </c>
    </row>
    <row r="188" spans="2:4">
      <c r="B188" s="383"/>
      <c r="C188" s="283" t="s">
        <v>523</v>
      </c>
    </row>
    <row r="189" spans="2:4" ht="37.5">
      <c r="B189" s="306" t="s">
        <v>524</v>
      </c>
      <c r="C189" s="283" t="s">
        <v>525</v>
      </c>
    </row>
    <row r="190" spans="2:4">
      <c r="B190" s="382"/>
      <c r="C190" s="283" t="s">
        <v>526</v>
      </c>
    </row>
    <row r="191" spans="2:4">
      <c r="B191" s="310" t="s">
        <v>3496</v>
      </c>
      <c r="C191" s="283" t="s">
        <v>786</v>
      </c>
    </row>
    <row r="192" spans="2:4">
      <c r="B192" s="382"/>
      <c r="C192" s="283" t="s">
        <v>787</v>
      </c>
    </row>
    <row r="193" spans="2:4">
      <c r="B193" s="382"/>
      <c r="C193" s="283" t="s">
        <v>788</v>
      </c>
    </row>
    <row r="194" spans="2:4">
      <c r="B194" s="382"/>
      <c r="C194" s="283" t="s">
        <v>789</v>
      </c>
    </row>
    <row r="195" spans="2:4">
      <c r="B195" s="382"/>
      <c r="C195" s="283" t="s">
        <v>790</v>
      </c>
    </row>
    <row r="196" spans="2:4">
      <c r="B196" s="382"/>
      <c r="C196" s="283" t="s">
        <v>791</v>
      </c>
    </row>
    <row r="197" spans="2:4">
      <c r="B197" s="382"/>
      <c r="C197" s="283" t="s">
        <v>792</v>
      </c>
    </row>
    <row r="198" spans="2:4" ht="93.75">
      <c r="B198" s="310" t="s">
        <v>3279</v>
      </c>
      <c r="C198" s="283" t="str">
        <f>IF('1. Criteria &amp; Spec Matrix'!F5='3. Dropdowns'!C12,"",D198)</f>
        <v>No gas or propane equipment is installed for dwelling unit space heating or dwelling unit water heating, or dwelling units are served by a central system.</v>
      </c>
      <c r="D198" s="390" t="s">
        <v>2612</v>
      </c>
    </row>
    <row r="199" spans="2:4" ht="56.25">
      <c r="B199" s="382"/>
      <c r="C199" s="283" t="str">
        <f>IF('1. Criteria &amp; Spec Matrix'!F5='3. Dropdowns'!C12,"",D199)</f>
        <v>In-unit gas or propane equipment is installed for dwelling unit space heating.</v>
      </c>
      <c r="D199" s="390" t="s">
        <v>2614</v>
      </c>
    </row>
    <row r="200" spans="2:4" ht="56.25">
      <c r="B200" s="382"/>
      <c r="C200" s="283" t="str">
        <f>IF('1. Criteria &amp; Spec Matrix'!F5='3. Dropdowns'!C12,"",D200)</f>
        <v>In-unit gas or propane equipment is installed for dwelling unit water heating.</v>
      </c>
      <c r="D200" s="390" t="s">
        <v>3069</v>
      </c>
    </row>
    <row r="201" spans="2:4" ht="56.25">
      <c r="B201" s="382"/>
      <c r="C201" s="283" t="str">
        <f>IF('1. Criteria &amp; Spec Matrix'!F5='3. Dropdowns'!C12,"",D201)</f>
        <v>In-unit gas or propane equipment is installed for BOTH dwelling unit space and water heating.</v>
      </c>
      <c r="D201" s="390" t="s">
        <v>3070</v>
      </c>
    </row>
    <row r="202" spans="2:4" ht="37.5">
      <c r="B202" s="382"/>
      <c r="C202" s="283" t="s">
        <v>846</v>
      </c>
    </row>
    <row r="203" spans="2:4" ht="56.25">
      <c r="B203" s="310" t="s">
        <v>3280</v>
      </c>
      <c r="C203" s="283" t="s">
        <v>862</v>
      </c>
    </row>
    <row r="204" spans="2:4" ht="37.5">
      <c r="B204" s="382"/>
      <c r="C204" s="283" t="s">
        <v>863</v>
      </c>
    </row>
    <row r="205" spans="2:4" ht="37.5">
      <c r="B205" s="306" t="s">
        <v>3281</v>
      </c>
      <c r="C205" s="283" t="s">
        <v>896</v>
      </c>
    </row>
    <row r="206" spans="2:4">
      <c r="B206" s="382"/>
      <c r="C206" s="283" t="s">
        <v>858</v>
      </c>
    </row>
    <row r="207" spans="2:4">
      <c r="B207" s="382"/>
      <c r="C207" s="283" t="s">
        <v>859</v>
      </c>
    </row>
    <row r="208" spans="2:4" ht="37.5">
      <c r="B208" s="382"/>
      <c r="C208" s="283" t="str">
        <f>IF('1. Criteria &amp; Spec Matrix'!F5='3. Dropdowns'!C12,D208,"")</f>
        <v/>
      </c>
      <c r="D208" s="390" t="s">
        <v>3020</v>
      </c>
    </row>
    <row r="209" spans="2:4" ht="37.5">
      <c r="B209" s="306" t="s">
        <v>3282</v>
      </c>
      <c r="C209" s="283" t="s">
        <v>2614</v>
      </c>
    </row>
    <row r="210" spans="2:4" ht="37.5">
      <c r="B210" s="382"/>
      <c r="C210" s="283" t="s">
        <v>2615</v>
      </c>
    </row>
    <row r="211" spans="2:4" ht="27" customHeight="1">
      <c r="B211" s="382"/>
      <c r="C211" s="283" t="s">
        <v>2613</v>
      </c>
    </row>
    <row r="212" spans="2:4" ht="56.25">
      <c r="B212" s="306" t="s">
        <v>3497</v>
      </c>
      <c r="C212" s="283" t="s">
        <v>862</v>
      </c>
    </row>
    <row r="213" spans="2:4" ht="37.5">
      <c r="B213" s="382"/>
      <c r="C213" s="283" t="s">
        <v>863</v>
      </c>
    </row>
    <row r="214" spans="2:4">
      <c r="B214" s="310" t="s">
        <v>3284</v>
      </c>
      <c r="C214" s="283" t="s">
        <v>895</v>
      </c>
    </row>
    <row r="215" spans="2:4">
      <c r="B215" s="382"/>
      <c r="C215" s="283" t="s">
        <v>3071</v>
      </c>
    </row>
    <row r="216" spans="2:4">
      <c r="B216" s="382"/>
      <c r="C216" s="283" t="s">
        <v>877</v>
      </c>
    </row>
    <row r="217" spans="2:4">
      <c r="B217" s="310" t="s">
        <v>3285</v>
      </c>
      <c r="C217" s="283" t="str">
        <f>IF('1. Criteria &amp; Spec Matrix'!F5='3. Dropdowns'!C12,D217,"Criterion 5.6 not used.")</f>
        <v>Criterion 5.6 not used.</v>
      </c>
      <c r="D217" s="292" t="s">
        <v>3005</v>
      </c>
    </row>
    <row r="218" spans="2:4">
      <c r="B218" s="382"/>
      <c r="C218" s="283" t="s">
        <v>902</v>
      </c>
    </row>
    <row r="219" spans="2:4">
      <c r="B219" s="382"/>
      <c r="C219" s="283" t="s">
        <v>903</v>
      </c>
    </row>
    <row r="220" spans="2:4">
      <c r="B220" s="382"/>
      <c r="C220" s="283" t="s">
        <v>904</v>
      </c>
    </row>
    <row r="221" spans="2:4">
      <c r="B221" s="310" t="s">
        <v>3286</v>
      </c>
      <c r="C221" s="283" t="s">
        <v>919</v>
      </c>
    </row>
    <row r="222" spans="2:4">
      <c r="B222" s="382"/>
      <c r="C222" s="283" t="s">
        <v>920</v>
      </c>
    </row>
    <row r="223" spans="2:4">
      <c r="B223" s="382"/>
      <c r="C223" s="283" t="s">
        <v>921</v>
      </c>
    </row>
    <row r="224" spans="2:4">
      <c r="B224" s="382"/>
      <c r="C224" s="283" t="s">
        <v>922</v>
      </c>
    </row>
    <row r="225" spans="2:4">
      <c r="B225" s="382"/>
      <c r="C225" s="283" t="s">
        <v>923</v>
      </c>
    </row>
    <row r="226" spans="2:4">
      <c r="B226" s="382"/>
      <c r="C226" s="283" t="s">
        <v>924</v>
      </c>
    </row>
    <row r="227" spans="2:4">
      <c r="B227" s="382"/>
      <c r="C227" s="283" t="s">
        <v>929</v>
      </c>
    </row>
    <row r="228" spans="2:4">
      <c r="B228" s="382"/>
      <c r="C228" s="283" t="s">
        <v>930</v>
      </c>
    </row>
    <row r="229" spans="2:4">
      <c r="B229" s="382"/>
      <c r="C229" s="283" t="s">
        <v>931</v>
      </c>
    </row>
    <row r="230" spans="2:4">
      <c r="B230" s="382"/>
      <c r="C230" s="283" t="s">
        <v>925</v>
      </c>
    </row>
    <row r="231" spans="2:4" ht="37.5">
      <c r="B231" s="306" t="s">
        <v>3287</v>
      </c>
      <c r="C231" s="283" t="s">
        <v>946</v>
      </c>
    </row>
    <row r="232" spans="2:4">
      <c r="B232" s="382"/>
      <c r="C232" s="283" t="s">
        <v>947</v>
      </c>
    </row>
    <row r="233" spans="2:4">
      <c r="B233" s="382"/>
      <c r="C233" s="283" t="s">
        <v>948</v>
      </c>
    </row>
    <row r="234" spans="2:4" ht="37.5">
      <c r="B234" s="306" t="s">
        <v>3287</v>
      </c>
      <c r="C234" s="283" t="s">
        <v>938</v>
      </c>
    </row>
    <row r="235" spans="2:4" ht="37.5">
      <c r="B235" s="382"/>
      <c r="C235" s="283" t="str">
        <f>IF(OR('1. Criteria &amp; Spec Matrix'!D5='3. Dropdowns'!C8,'1. Criteria &amp; Spec Matrix'!D5=""),D235,"")</f>
        <v>Electrical service upgrade exception (substantial rehabs)</v>
      </c>
      <c r="D235" s="390" t="s">
        <v>936</v>
      </c>
    </row>
    <row r="236" spans="2:4">
      <c r="B236" s="382"/>
      <c r="C236" s="283" t="str">
        <f>IF(OR('1. Criteria &amp; Spec Matrix'!D5='3. Dropdowns'!C7,'1. Criteria &amp; Spec Matrix'!D5=""),D236,"")</f>
        <v>Transformer exception (new construction)</v>
      </c>
      <c r="D236" s="292" t="s">
        <v>937</v>
      </c>
    </row>
    <row r="237" spans="2:4" ht="37.5">
      <c r="B237" s="306" t="s">
        <v>3498</v>
      </c>
      <c r="C237" s="283" t="s">
        <v>939</v>
      </c>
    </row>
    <row r="238" spans="2:4">
      <c r="B238" s="382"/>
      <c r="C238" s="283" t="s">
        <v>940</v>
      </c>
    </row>
    <row r="239" spans="2:4">
      <c r="B239" s="306" t="s">
        <v>3289</v>
      </c>
      <c r="C239" s="283" t="s">
        <v>941</v>
      </c>
    </row>
    <row r="240" spans="2:4">
      <c r="B240" s="382"/>
      <c r="C240" s="283" t="s">
        <v>949</v>
      </c>
    </row>
    <row r="241" spans="2:4" ht="37.5">
      <c r="B241" s="382"/>
      <c r="C241" s="283" t="s">
        <v>950</v>
      </c>
    </row>
    <row r="242" spans="2:4">
      <c r="B242" s="382"/>
      <c r="C242" s="283" t="str">
        <f>IF('1. Criteria &amp; Spec Matrix'!F5='3. Dropdowns'!C12,"NYC Option 1: Install at least two L2 EVSE","")</f>
        <v/>
      </c>
      <c r="D242" s="292" t="s">
        <v>3050</v>
      </c>
    </row>
    <row r="243" spans="2:4">
      <c r="B243" s="382"/>
      <c r="C243" s="283" t="str">
        <f>IF('1. Criteria &amp; Spec Matrix'!F5='3. Dropdowns'!C12,"NYC Option 2: Capable/Ready for 20% of spaces","")</f>
        <v/>
      </c>
      <c r="D243" s="292" t="s">
        <v>3051</v>
      </c>
    </row>
    <row r="244" spans="2:4">
      <c r="B244" s="306" t="s">
        <v>3291</v>
      </c>
      <c r="C244" s="283" t="s">
        <v>942</v>
      </c>
    </row>
    <row r="245" spans="2:4">
      <c r="B245" s="382"/>
      <c r="C245" s="283" t="s">
        <v>943</v>
      </c>
    </row>
    <row r="246" spans="2:4">
      <c r="B246" s="382"/>
      <c r="C246" s="283" t="s">
        <v>944</v>
      </c>
    </row>
    <row r="247" spans="2:4">
      <c r="B247" s="382"/>
      <c r="C247" s="391" t="s">
        <v>945</v>
      </c>
    </row>
    <row r="248" spans="2:4">
      <c r="B248" s="310" t="s">
        <v>3292</v>
      </c>
      <c r="C248" s="387" t="s">
        <v>985</v>
      </c>
    </row>
    <row r="249" spans="2:4">
      <c r="B249" s="389"/>
      <c r="C249" s="387" t="s">
        <v>986</v>
      </c>
    </row>
    <row r="250" spans="2:4">
      <c r="B250" s="310" t="s">
        <v>3499</v>
      </c>
      <c r="C250" s="387" t="s">
        <v>990</v>
      </c>
    </row>
    <row r="251" spans="2:4">
      <c r="B251" s="389"/>
      <c r="C251" s="387" t="s">
        <v>991</v>
      </c>
    </row>
    <row r="252" spans="2:4">
      <c r="B252" s="389"/>
      <c r="C252" s="392" t="s">
        <v>992</v>
      </c>
    </row>
    <row r="253" spans="2:4" ht="15.75" customHeight="1">
      <c r="B253" s="306" t="s">
        <v>3500</v>
      </c>
      <c r="C253" s="387" t="s">
        <v>1022</v>
      </c>
    </row>
    <row r="254" spans="2:4">
      <c r="B254" s="382"/>
      <c r="C254" s="387" t="s">
        <v>571</v>
      </c>
    </row>
    <row r="255" spans="2:4">
      <c r="B255" s="389"/>
      <c r="C255" s="387" t="s">
        <v>1016</v>
      </c>
    </row>
    <row r="256" spans="2:4">
      <c r="B256" s="389"/>
      <c r="C256" s="387" t="s">
        <v>1017</v>
      </c>
    </row>
    <row r="257" spans="2:3">
      <c r="B257" s="389"/>
      <c r="C257" s="387" t="s">
        <v>285</v>
      </c>
    </row>
    <row r="258" spans="2:3">
      <c r="B258" s="389"/>
      <c r="C258" s="387" t="s">
        <v>1018</v>
      </c>
    </row>
    <row r="259" spans="2:3">
      <c r="B259" s="389"/>
      <c r="C259" s="387" t="s">
        <v>223</v>
      </c>
    </row>
    <row r="260" spans="2:3">
      <c r="B260" s="389"/>
      <c r="C260" s="387" t="s">
        <v>311</v>
      </c>
    </row>
    <row r="261" spans="2:3">
      <c r="B261" s="389"/>
      <c r="C261" s="387" t="s">
        <v>1019</v>
      </c>
    </row>
    <row r="262" spans="2:3">
      <c r="B262" s="389"/>
      <c r="C262" s="387" t="s">
        <v>1020</v>
      </c>
    </row>
    <row r="263" spans="2:3">
      <c r="B263" s="389"/>
      <c r="C263" s="392" t="s">
        <v>1021</v>
      </c>
    </row>
    <row r="264" spans="2:3" ht="37.5">
      <c r="B264" s="393" t="s">
        <v>3296</v>
      </c>
      <c r="C264" s="390" t="s">
        <v>1041</v>
      </c>
    </row>
    <row r="265" spans="2:3">
      <c r="B265" s="394"/>
      <c r="C265" s="390" t="s">
        <v>1042</v>
      </c>
    </row>
    <row r="266" spans="2:3" ht="37.5">
      <c r="B266" s="306" t="s">
        <v>3298</v>
      </c>
      <c r="C266" s="387" t="s">
        <v>1056</v>
      </c>
    </row>
    <row r="267" spans="2:3">
      <c r="B267" s="383"/>
      <c r="C267" s="387" t="s">
        <v>1069</v>
      </c>
    </row>
    <row r="268" spans="2:3" ht="37.5">
      <c r="B268" s="382" t="s">
        <v>3299</v>
      </c>
      <c r="C268" s="387" t="s">
        <v>1053</v>
      </c>
    </row>
    <row r="269" spans="2:3">
      <c r="B269" s="382"/>
      <c r="C269" s="387" t="s">
        <v>1057</v>
      </c>
    </row>
    <row r="270" spans="2:3">
      <c r="B270" s="383"/>
      <c r="C270" s="387" t="s">
        <v>1058</v>
      </c>
    </row>
    <row r="271" spans="2:3" ht="37.5">
      <c r="B271" s="382" t="s">
        <v>3300</v>
      </c>
      <c r="C271" s="387" t="s">
        <v>1059</v>
      </c>
    </row>
    <row r="272" spans="2:3">
      <c r="B272" s="382"/>
      <c r="C272" s="387" t="s">
        <v>1067</v>
      </c>
    </row>
    <row r="273" spans="2:3" ht="37.5">
      <c r="B273" s="382"/>
      <c r="C273" s="387" t="s">
        <v>1060</v>
      </c>
    </row>
    <row r="274" spans="2:3">
      <c r="B274" s="382"/>
      <c r="C274" s="387" t="s">
        <v>1061</v>
      </c>
    </row>
    <row r="275" spans="2:3">
      <c r="B275" s="382"/>
      <c r="C275" s="387" t="s">
        <v>1062</v>
      </c>
    </row>
    <row r="276" spans="2:3">
      <c r="B276" s="382"/>
      <c r="C276" s="387" t="s">
        <v>1063</v>
      </c>
    </row>
    <row r="277" spans="2:3" ht="37.5">
      <c r="B277" s="382"/>
      <c r="C277" s="387" t="s">
        <v>1064</v>
      </c>
    </row>
    <row r="278" spans="2:3" ht="37.5">
      <c r="B278" s="382"/>
      <c r="C278" s="387" t="s">
        <v>1065</v>
      </c>
    </row>
    <row r="279" spans="2:3" ht="16.5" customHeight="1">
      <c r="B279" s="382"/>
      <c r="C279" s="387" t="s">
        <v>1066</v>
      </c>
    </row>
    <row r="280" spans="2:3" ht="37.5">
      <c r="B280" s="306" t="s">
        <v>3301</v>
      </c>
      <c r="C280" s="387" t="s">
        <v>1081</v>
      </c>
    </row>
    <row r="281" spans="2:3">
      <c r="B281" s="383"/>
      <c r="C281" s="387" t="s">
        <v>1068</v>
      </c>
    </row>
    <row r="282" spans="2:3" ht="37.5">
      <c r="B282" s="306" t="s">
        <v>3302</v>
      </c>
      <c r="C282" s="387" t="s">
        <v>1134</v>
      </c>
    </row>
    <row r="283" spans="2:3" ht="37.5">
      <c r="B283" s="382"/>
      <c r="C283" s="387" t="s">
        <v>1135</v>
      </c>
    </row>
    <row r="284" spans="2:3" ht="37.5">
      <c r="B284" s="382"/>
      <c r="C284" s="387" t="s">
        <v>1136</v>
      </c>
    </row>
    <row r="285" spans="2:3">
      <c r="B285" s="382"/>
      <c r="C285" s="387" t="s">
        <v>1070</v>
      </c>
    </row>
    <row r="286" spans="2:3">
      <c r="B286" s="383"/>
      <c r="C286" s="387" t="s">
        <v>1071</v>
      </c>
    </row>
    <row r="287" spans="2:3" ht="37.5">
      <c r="B287" s="306" t="s">
        <v>3303</v>
      </c>
      <c r="C287" s="387" t="s">
        <v>1072</v>
      </c>
    </row>
    <row r="288" spans="2:3">
      <c r="B288" s="382"/>
      <c r="C288" s="387" t="s">
        <v>1073</v>
      </c>
    </row>
    <row r="289" spans="2:4">
      <c r="B289" s="383"/>
      <c r="C289" s="387" t="s">
        <v>1074</v>
      </c>
    </row>
    <row r="290" spans="2:4" ht="37.5">
      <c r="B290" s="306" t="s">
        <v>3304</v>
      </c>
      <c r="C290" s="387" t="s">
        <v>1054</v>
      </c>
    </row>
    <row r="291" spans="2:4" ht="37.5">
      <c r="B291" s="382"/>
      <c r="C291" s="387" t="s">
        <v>2562</v>
      </c>
    </row>
    <row r="292" spans="2:4">
      <c r="B292" s="382"/>
      <c r="C292" s="387" t="s">
        <v>2563</v>
      </c>
    </row>
    <row r="293" spans="2:4" ht="37.5">
      <c r="B293" s="382"/>
      <c r="C293" s="387" t="s">
        <v>2564</v>
      </c>
    </row>
    <row r="294" spans="2:4">
      <c r="B294" s="383"/>
      <c r="C294" s="387" t="s">
        <v>1075</v>
      </c>
    </row>
    <row r="295" spans="2:4" ht="37.5">
      <c r="B295" s="306" t="s">
        <v>3306</v>
      </c>
      <c r="C295" s="387" t="s">
        <v>1077</v>
      </c>
    </row>
    <row r="296" spans="2:4" ht="37.5">
      <c r="B296" s="382"/>
      <c r="C296" s="387" t="s">
        <v>1078</v>
      </c>
    </row>
    <row r="297" spans="2:4" ht="37.5">
      <c r="B297" s="382"/>
      <c r="C297" s="387" t="s">
        <v>1079</v>
      </c>
    </row>
    <row r="298" spans="2:4">
      <c r="B298" s="383"/>
      <c r="C298" s="387" t="s">
        <v>1080</v>
      </c>
    </row>
    <row r="299" spans="2:4" ht="37.5">
      <c r="B299" s="306" t="s">
        <v>3307</v>
      </c>
      <c r="C299" s="387" t="s">
        <v>1055</v>
      </c>
    </row>
    <row r="300" spans="2:4" ht="37.5">
      <c r="B300" s="389"/>
      <c r="C300" s="387" t="s">
        <v>1082</v>
      </c>
    </row>
    <row r="301" spans="2:4">
      <c r="B301" s="310" t="s">
        <v>3308</v>
      </c>
      <c r="C301" s="387" t="str">
        <f>IF('1. Criteria &amp; Spec Matrix'!F5='3. Dropdowns'!C12,"","Criterion 6.5 not used.")</f>
        <v>Criterion 6.5 not used.</v>
      </c>
      <c r="D301" s="292" t="s">
        <v>1164</v>
      </c>
    </row>
    <row r="302" spans="2:4" ht="56.25">
      <c r="B302" s="389"/>
      <c r="C302" s="387" t="s">
        <v>2557</v>
      </c>
    </row>
    <row r="303" spans="2:4" ht="37.5">
      <c r="B303" s="389"/>
      <c r="C303" s="387" t="s">
        <v>2558</v>
      </c>
    </row>
    <row r="304" spans="2:4" ht="37.5">
      <c r="B304" s="310" t="s">
        <v>3501</v>
      </c>
      <c r="C304" s="390" t="s">
        <v>938</v>
      </c>
    </row>
    <row r="305" spans="2:3" ht="93.75">
      <c r="B305" s="389"/>
      <c r="C305" s="387" t="s">
        <v>1178</v>
      </c>
    </row>
    <row r="306" spans="2:3">
      <c r="B306" s="306" t="s">
        <v>3310</v>
      </c>
      <c r="C306" s="387" t="s">
        <v>938</v>
      </c>
    </row>
    <row r="307" spans="2:3">
      <c r="B307" s="382"/>
      <c r="C307" s="387" t="s">
        <v>1191</v>
      </c>
    </row>
    <row r="308" spans="2:3" ht="37.5">
      <c r="B308" s="382"/>
      <c r="C308" s="387" t="s">
        <v>1192</v>
      </c>
    </row>
    <row r="309" spans="2:3" ht="37.5">
      <c r="B309" s="306" t="s">
        <v>3311</v>
      </c>
      <c r="C309" s="390" t="s">
        <v>938</v>
      </c>
    </row>
    <row r="310" spans="2:3" ht="37.5">
      <c r="B310" s="382"/>
      <c r="C310" s="390" t="s">
        <v>1193</v>
      </c>
    </row>
    <row r="311" spans="2:3" ht="37.5">
      <c r="B311" s="382"/>
      <c r="C311" s="390" t="s">
        <v>1194</v>
      </c>
    </row>
    <row r="312" spans="2:3" ht="37.5">
      <c r="B312" s="389"/>
      <c r="C312" s="395" t="s">
        <v>1195</v>
      </c>
    </row>
    <row r="313" spans="2:3" ht="37.5">
      <c r="B313" s="310" t="s">
        <v>3502</v>
      </c>
      <c r="C313" s="387" t="s">
        <v>1207</v>
      </c>
    </row>
    <row r="314" spans="2:3">
      <c r="B314" s="389"/>
      <c r="C314" s="387" t="s">
        <v>1206</v>
      </c>
    </row>
    <row r="315" spans="2:3" ht="37.5">
      <c r="B315" s="389"/>
      <c r="C315" s="387" t="s">
        <v>1209</v>
      </c>
    </row>
    <row r="316" spans="2:3">
      <c r="B316" s="389"/>
      <c r="C316" s="387" t="s">
        <v>1210</v>
      </c>
    </row>
    <row r="317" spans="2:3" ht="37.5">
      <c r="B317" s="310" t="s">
        <v>3315</v>
      </c>
      <c r="C317" s="387" t="s">
        <v>1248</v>
      </c>
    </row>
    <row r="318" spans="2:3">
      <c r="B318" s="389"/>
      <c r="C318" s="387" t="s">
        <v>1249</v>
      </c>
    </row>
    <row r="319" spans="2:3">
      <c r="B319" s="389"/>
      <c r="C319" s="387" t="s">
        <v>1250</v>
      </c>
    </row>
    <row r="320" spans="2:3">
      <c r="B320" s="389"/>
      <c r="C320" s="387" t="s">
        <v>1251</v>
      </c>
    </row>
    <row r="321" spans="2:4">
      <c r="B321" s="389"/>
      <c r="C321" s="387" t="s">
        <v>1252</v>
      </c>
    </row>
    <row r="322" spans="2:4">
      <c r="B322" s="389"/>
      <c r="C322" s="387" t="s">
        <v>1253</v>
      </c>
    </row>
    <row r="323" spans="2:4" ht="37.5">
      <c r="B323" s="389"/>
      <c r="C323" s="387" t="s">
        <v>1254</v>
      </c>
    </row>
    <row r="324" spans="2:4" ht="37.5">
      <c r="B324" s="389"/>
      <c r="C324" s="387" t="s">
        <v>1255</v>
      </c>
    </row>
    <row r="325" spans="2:4" ht="37.5">
      <c r="B325" s="310" t="s">
        <v>3503</v>
      </c>
      <c r="C325" s="387" t="s">
        <v>1257</v>
      </c>
    </row>
    <row r="326" spans="2:4" ht="37.5">
      <c r="B326" s="389"/>
      <c r="C326" s="387" t="s">
        <v>1258</v>
      </c>
    </row>
    <row r="327" spans="2:4" ht="37.5">
      <c r="B327" s="310" t="s">
        <v>3317</v>
      </c>
      <c r="C327" s="387" t="s">
        <v>1279</v>
      </c>
    </row>
    <row r="328" spans="2:4" ht="37.5">
      <c r="B328" s="389"/>
      <c r="C328" s="387" t="s">
        <v>1280</v>
      </c>
    </row>
    <row r="329" spans="2:4">
      <c r="B329" s="310" t="s">
        <v>3318</v>
      </c>
      <c r="C329" s="387" t="str">
        <f>IF('1. Criteria &amp; Spec Matrix'!F5='3. Dropdowns'!C12,"",D329)</f>
        <v>Criterion 7.7 not used.</v>
      </c>
      <c r="D329" s="292" t="s">
        <v>1285</v>
      </c>
    </row>
    <row r="330" spans="2:4">
      <c r="B330" s="389"/>
      <c r="C330" s="387" t="s">
        <v>1286</v>
      </c>
    </row>
    <row r="331" spans="2:4">
      <c r="B331" s="389"/>
      <c r="C331" s="387" t="s">
        <v>1287</v>
      </c>
    </row>
    <row r="332" spans="2:4" ht="37.5">
      <c r="B332" s="310" t="s">
        <v>3319</v>
      </c>
      <c r="C332" s="387" t="str">
        <f>IF(AND(NOT(OR('1. Criteria &amp; Spec Matrix'!E190='3. Dropdowns'!C191,'1. Criteria &amp; Spec Matrix'!E190="")),'1. Criteria &amp; Spec Matrix'!F5='3. Dropdowns'!C12),"",D332)</f>
        <v>Option 1: Dedicated dehumidification system</v>
      </c>
      <c r="D332" s="292" t="s">
        <v>1295</v>
      </c>
    </row>
    <row r="333" spans="2:4">
      <c r="B333" s="389"/>
      <c r="C333" s="387" t="str">
        <f>IF(AND(NOT(OR('1. Criteria &amp; Spec Matrix'!E190='3. Dropdowns'!C191,'1. Criteria &amp; Spec Matrix'!E190="")),'1. Criteria &amp; Spec Matrix'!F5='3. Dropdowns'!C12),"",D333)</f>
        <v>Option 2: Dehumidification readiness</v>
      </c>
      <c r="D333" s="292" t="s">
        <v>1296</v>
      </c>
    </row>
    <row r="334" spans="2:4">
      <c r="B334" s="389"/>
      <c r="C334" s="387" t="s">
        <v>1297</v>
      </c>
    </row>
    <row r="335" spans="2:4">
      <c r="B335" s="389"/>
      <c r="C335" s="387" t="s">
        <v>1298</v>
      </c>
    </row>
    <row r="336" spans="2:4" ht="37.5">
      <c r="B336" s="310" t="s">
        <v>3320</v>
      </c>
      <c r="C336" s="387" t="s">
        <v>2074</v>
      </c>
    </row>
    <row r="337" spans="2:3">
      <c r="B337" s="389"/>
      <c r="C337" s="387" t="s">
        <v>1295</v>
      </c>
    </row>
    <row r="338" spans="2:3">
      <c r="B338" s="389"/>
      <c r="C338" s="387" t="s">
        <v>1296</v>
      </c>
    </row>
    <row r="339" spans="2:3">
      <c r="B339" s="389"/>
      <c r="C339" s="387" t="s">
        <v>1297</v>
      </c>
    </row>
    <row r="340" spans="2:3">
      <c r="B340" s="389"/>
      <c r="C340" s="387" t="s">
        <v>1298</v>
      </c>
    </row>
    <row r="341" spans="2:3" ht="37.5">
      <c r="B341" s="310" t="s">
        <v>3321</v>
      </c>
      <c r="C341" s="387" t="s">
        <v>938</v>
      </c>
    </row>
    <row r="342" spans="2:3" ht="37.5">
      <c r="B342" s="389"/>
      <c r="C342" s="387" t="s">
        <v>1324</v>
      </c>
    </row>
    <row r="343" spans="2:3" ht="56.25">
      <c r="B343" s="306" t="s">
        <v>3324</v>
      </c>
      <c r="C343" s="387" t="s">
        <v>1354</v>
      </c>
    </row>
    <row r="344" spans="2:3">
      <c r="B344" s="382"/>
      <c r="C344" s="387" t="s">
        <v>1356</v>
      </c>
    </row>
    <row r="345" spans="2:3" ht="37.5">
      <c r="B345" s="382"/>
      <c r="C345" s="387" t="s">
        <v>1357</v>
      </c>
    </row>
    <row r="346" spans="2:3" ht="37.5">
      <c r="B346" s="389"/>
      <c r="C346" s="387" t="s">
        <v>1355</v>
      </c>
    </row>
    <row r="347" spans="2:3" ht="37.5">
      <c r="B347" s="310" t="s">
        <v>3326</v>
      </c>
      <c r="C347" s="387" t="s">
        <v>1367</v>
      </c>
    </row>
    <row r="348" spans="2:3">
      <c r="B348" s="389"/>
      <c r="C348" s="387" t="s">
        <v>1368</v>
      </c>
    </row>
    <row r="349" spans="2:3">
      <c r="B349" s="389"/>
      <c r="C349" s="387" t="s">
        <v>1369</v>
      </c>
    </row>
    <row r="350" spans="2:3">
      <c r="B350" s="396"/>
      <c r="C350" s="387" t="s">
        <v>393</v>
      </c>
    </row>
    <row r="351" spans="2:3" ht="37.5">
      <c r="B351" s="395" t="s">
        <v>3327</v>
      </c>
      <c r="C351" s="390" t="s">
        <v>1370</v>
      </c>
    </row>
    <row r="352" spans="2:3" ht="37.5">
      <c r="B352" s="389"/>
      <c r="C352" s="390" t="s">
        <v>1376</v>
      </c>
    </row>
    <row r="353" spans="2:3">
      <c r="B353" s="389"/>
      <c r="C353" s="390" t="s">
        <v>1377</v>
      </c>
    </row>
    <row r="354" spans="2:3" ht="37.5">
      <c r="B354" s="389"/>
      <c r="C354" s="390" t="s">
        <v>1378</v>
      </c>
    </row>
    <row r="355" spans="2:3" ht="37.5">
      <c r="B355" s="389"/>
      <c r="C355" s="390" t="s">
        <v>1395</v>
      </c>
    </row>
    <row r="356" spans="2:3" ht="37.5">
      <c r="B356" s="389"/>
      <c r="C356" s="390" t="s">
        <v>1394</v>
      </c>
    </row>
    <row r="357" spans="2:3">
      <c r="B357" s="310" t="s">
        <v>3504</v>
      </c>
      <c r="C357" s="387" t="s">
        <v>1400</v>
      </c>
    </row>
    <row r="358" spans="2:3">
      <c r="B358" s="396"/>
      <c r="C358" s="387" t="s">
        <v>992</v>
      </c>
    </row>
    <row r="359" spans="2:3" ht="37.5">
      <c r="B359" s="310" t="s">
        <v>3505</v>
      </c>
      <c r="C359" s="387" t="s">
        <v>1412</v>
      </c>
    </row>
    <row r="360" spans="2:3">
      <c r="B360" s="389"/>
      <c r="C360" s="387" t="s">
        <v>1413</v>
      </c>
    </row>
    <row r="361" spans="2:3">
      <c r="B361" s="396"/>
      <c r="C361" s="387" t="s">
        <v>992</v>
      </c>
    </row>
    <row r="362" spans="2:3" ht="56.25">
      <c r="B362" s="397" t="s">
        <v>3506</v>
      </c>
      <c r="C362" s="387" t="s">
        <v>1400</v>
      </c>
    </row>
    <row r="363" spans="2:3">
      <c r="B363" s="389"/>
      <c r="C363" s="392" t="s">
        <v>992</v>
      </c>
    </row>
    <row r="364" spans="2:3" ht="37.5">
      <c r="B364" s="310" t="s">
        <v>3353</v>
      </c>
      <c r="C364" s="387" t="s">
        <v>1475</v>
      </c>
    </row>
    <row r="365" spans="2:3" ht="37.5">
      <c r="B365" s="389"/>
      <c r="C365" s="387" t="s">
        <v>1477</v>
      </c>
    </row>
    <row r="366" spans="2:3" ht="37.5">
      <c r="B366" s="389"/>
      <c r="C366" s="387" t="s">
        <v>1476</v>
      </c>
    </row>
    <row r="367" spans="2:3" ht="37.5">
      <c r="B367" s="389"/>
      <c r="C367" s="387" t="s">
        <v>1478</v>
      </c>
    </row>
    <row r="368" spans="2:3" ht="37.5">
      <c r="B368" s="310" t="s">
        <v>3353</v>
      </c>
      <c r="C368" s="387" t="s">
        <v>1400</v>
      </c>
    </row>
    <row r="369" spans="2:3">
      <c r="B369" s="389"/>
      <c r="C369" s="387" t="s">
        <v>992</v>
      </c>
    </row>
    <row r="370" spans="2:3" ht="37.5">
      <c r="B370" s="310" t="s">
        <v>3363</v>
      </c>
      <c r="C370" s="387" t="s">
        <v>1498</v>
      </c>
    </row>
    <row r="371" spans="2:3">
      <c r="B371" s="389"/>
      <c r="C371" s="387" t="s">
        <v>1499</v>
      </c>
    </row>
    <row r="372" spans="2:3">
      <c r="B372" s="389"/>
      <c r="C372" s="387" t="s">
        <v>1500</v>
      </c>
    </row>
    <row r="373" spans="2:3">
      <c r="B373" s="389"/>
      <c r="C373" s="387" t="s">
        <v>1501</v>
      </c>
    </row>
    <row r="374" spans="2:3" ht="37.5">
      <c r="B374" s="389"/>
      <c r="C374" s="387" t="s">
        <v>1502</v>
      </c>
    </row>
    <row r="375" spans="2:3" ht="37.5">
      <c r="B375" s="389"/>
      <c r="C375" s="387" t="s">
        <v>1503</v>
      </c>
    </row>
    <row r="376" spans="2:3" ht="37.5">
      <c r="B376" s="389"/>
      <c r="C376" s="387" t="s">
        <v>1504</v>
      </c>
    </row>
    <row r="377" spans="2:3" ht="37.5">
      <c r="B377" s="389"/>
      <c r="C377" s="387" t="s">
        <v>1505</v>
      </c>
    </row>
    <row r="378" spans="2:3" ht="37.5">
      <c r="B378" s="310" t="s">
        <v>3364</v>
      </c>
      <c r="C378" s="387" t="s">
        <v>1514</v>
      </c>
    </row>
    <row r="379" spans="2:3" ht="37.5">
      <c r="B379" s="389"/>
      <c r="C379" s="387" t="s">
        <v>1515</v>
      </c>
    </row>
    <row r="380" spans="2:3" ht="37.5">
      <c r="B380" s="389"/>
      <c r="C380" s="387" t="s">
        <v>1516</v>
      </c>
    </row>
    <row r="381" spans="2:3" ht="37.5">
      <c r="B381" s="389"/>
      <c r="C381" s="387" t="s">
        <v>1517</v>
      </c>
    </row>
    <row r="382" spans="2:3">
      <c r="B382" s="389"/>
      <c r="C382" s="387" t="s">
        <v>1518</v>
      </c>
    </row>
    <row r="383" spans="2:3" ht="37.5">
      <c r="B383" s="310" t="s">
        <v>3370</v>
      </c>
      <c r="C383" s="387" t="s">
        <v>1560</v>
      </c>
    </row>
    <row r="384" spans="2:3">
      <c r="B384" s="389"/>
      <c r="C384" s="387" t="s">
        <v>1561</v>
      </c>
    </row>
    <row r="385" spans="2:4">
      <c r="B385" s="389"/>
      <c r="C385" s="387" t="s">
        <v>1562</v>
      </c>
    </row>
    <row r="386" spans="2:4">
      <c r="B386" s="389"/>
      <c r="C386" s="387" t="s">
        <v>1563</v>
      </c>
    </row>
    <row r="387" spans="2:4">
      <c r="B387" s="389"/>
      <c r="C387" s="387" t="s">
        <v>1564</v>
      </c>
    </row>
    <row r="388" spans="2:4">
      <c r="B388" s="389"/>
      <c r="C388" s="390" t="str">
        <f>IF('1. Criteria &amp; Spec Matrix'!F5='3. Dropdowns'!C12,D388,"")</f>
        <v/>
      </c>
      <c r="D388" s="292" t="s">
        <v>3065</v>
      </c>
    </row>
    <row r="389" spans="2:4">
      <c r="B389" s="396"/>
      <c r="C389" s="390" t="str">
        <f>IF('1. Criteria &amp; Spec Matrix'!F5='3. Dropdowns'!C12,D389,"")</f>
        <v/>
      </c>
      <c r="D389" s="292" t="s">
        <v>3066</v>
      </c>
    </row>
  </sheetData>
  <sheetProtection sheet="1" objects="1" scenarios="1"/>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5208F-01FE-9D41-A3B1-88CE1505E2AD}">
  <dimension ref="B1:D39"/>
  <sheetViews>
    <sheetView zoomScaleNormal="100" workbookViewId="0"/>
  </sheetViews>
  <sheetFormatPr defaultColWidth="10.85546875" defaultRowHeight="18.75"/>
  <cols>
    <col min="1" max="1" width="7.42578125" style="155" customWidth="1"/>
    <col min="2" max="2" width="11.28515625" style="155" customWidth="1"/>
    <col min="3" max="3" width="19" style="155" customWidth="1"/>
    <col min="4" max="4" width="72.42578125" style="155" customWidth="1"/>
    <col min="5" max="16384" width="10.85546875" style="155"/>
  </cols>
  <sheetData>
    <row r="1" spans="2:4" ht="9" customHeight="1"/>
    <row r="2" spans="2:4" s="198" customFormat="1" ht="23.25">
      <c r="B2" s="186" t="s">
        <v>527</v>
      </c>
    </row>
    <row r="4" spans="2:4" ht="24" customHeight="1">
      <c r="B4" s="376" t="s">
        <v>3507</v>
      </c>
      <c r="C4" s="377"/>
      <c r="D4" s="377"/>
    </row>
    <row r="6" spans="2:4" ht="21">
      <c r="B6" s="398" t="s">
        <v>528</v>
      </c>
      <c r="C6" s="402" t="s">
        <v>529</v>
      </c>
      <c r="D6" s="403" t="s">
        <v>530</v>
      </c>
    </row>
    <row r="7" spans="2:4">
      <c r="B7" s="399" t="s">
        <v>3117</v>
      </c>
      <c r="C7" s="400" t="s">
        <v>3118</v>
      </c>
      <c r="D7" s="400" t="s">
        <v>3119</v>
      </c>
    </row>
    <row r="8" spans="2:4">
      <c r="B8" s="401"/>
      <c r="C8" s="401"/>
      <c r="D8" s="401"/>
    </row>
    <row r="9" spans="2:4">
      <c r="B9" s="401"/>
      <c r="C9" s="401"/>
      <c r="D9" s="401"/>
    </row>
    <row r="10" spans="2:4">
      <c r="B10" s="401"/>
      <c r="C10" s="401"/>
      <c r="D10" s="401"/>
    </row>
    <row r="11" spans="2:4">
      <c r="B11" s="401"/>
      <c r="C11" s="401"/>
      <c r="D11" s="401"/>
    </row>
    <row r="12" spans="2:4">
      <c r="B12" s="401"/>
      <c r="C12" s="401"/>
      <c r="D12" s="401"/>
    </row>
    <row r="13" spans="2:4">
      <c r="B13" s="401"/>
      <c r="C13" s="401"/>
      <c r="D13" s="401"/>
    </row>
    <row r="14" spans="2:4">
      <c r="B14" s="401"/>
      <c r="C14" s="401"/>
      <c r="D14" s="401"/>
    </row>
    <row r="15" spans="2:4">
      <c r="B15" s="401"/>
      <c r="C15" s="401"/>
      <c r="D15" s="401"/>
    </row>
    <row r="16" spans="2:4">
      <c r="B16" s="401"/>
      <c r="C16" s="401"/>
      <c r="D16" s="401"/>
    </row>
    <row r="17" spans="2:4">
      <c r="B17" s="401"/>
      <c r="C17" s="401"/>
      <c r="D17" s="401"/>
    </row>
    <row r="18" spans="2:4">
      <c r="B18" s="401"/>
      <c r="C18" s="401"/>
      <c r="D18" s="401"/>
    </row>
    <row r="19" spans="2:4">
      <c r="B19" s="401"/>
      <c r="C19" s="401"/>
      <c r="D19" s="401"/>
    </row>
    <row r="20" spans="2:4">
      <c r="B20" s="401"/>
      <c r="C20" s="401"/>
      <c r="D20" s="401"/>
    </row>
    <row r="21" spans="2:4">
      <c r="B21" s="401"/>
      <c r="C21" s="401"/>
      <c r="D21" s="401"/>
    </row>
    <row r="22" spans="2:4">
      <c r="B22" s="401"/>
      <c r="C22" s="401"/>
      <c r="D22" s="401"/>
    </row>
    <row r="23" spans="2:4">
      <c r="B23" s="401"/>
      <c r="C23" s="401"/>
      <c r="D23" s="401"/>
    </row>
    <row r="24" spans="2:4">
      <c r="B24" s="401"/>
      <c r="C24" s="401"/>
      <c r="D24" s="401"/>
    </row>
    <row r="25" spans="2:4">
      <c r="B25" s="401"/>
      <c r="C25" s="401"/>
      <c r="D25" s="401"/>
    </row>
    <row r="26" spans="2:4">
      <c r="B26" s="401"/>
      <c r="C26" s="401"/>
      <c r="D26" s="401"/>
    </row>
    <row r="27" spans="2:4">
      <c r="B27" s="401"/>
      <c r="C27" s="401"/>
      <c r="D27" s="401"/>
    </row>
    <row r="28" spans="2:4">
      <c r="B28" s="401"/>
      <c r="C28" s="401"/>
      <c r="D28" s="401"/>
    </row>
    <row r="29" spans="2:4">
      <c r="B29" s="401"/>
      <c r="C29" s="401"/>
      <c r="D29" s="401"/>
    </row>
    <row r="30" spans="2:4">
      <c r="B30" s="401"/>
      <c r="C30" s="401"/>
      <c r="D30" s="401"/>
    </row>
    <row r="31" spans="2:4">
      <c r="B31" s="401"/>
      <c r="C31" s="401"/>
      <c r="D31" s="401"/>
    </row>
    <row r="32" spans="2:4">
      <c r="B32" s="401"/>
      <c r="C32" s="401"/>
      <c r="D32" s="401"/>
    </row>
    <row r="33" spans="2:4">
      <c r="B33" s="401"/>
      <c r="C33" s="401"/>
      <c r="D33" s="401"/>
    </row>
    <row r="34" spans="2:4">
      <c r="B34" s="401"/>
      <c r="C34" s="401"/>
      <c r="D34" s="401"/>
    </row>
    <row r="35" spans="2:4">
      <c r="B35" s="401"/>
      <c r="C35" s="401"/>
      <c r="D35" s="401"/>
    </row>
    <row r="36" spans="2:4">
      <c r="B36" s="401"/>
      <c r="C36" s="401"/>
      <c r="D36" s="401"/>
    </row>
    <row r="37" spans="2:4">
      <c r="B37" s="401"/>
      <c r="C37" s="401"/>
      <c r="D37" s="401"/>
    </row>
    <row r="38" spans="2:4">
      <c r="B38" s="401"/>
      <c r="C38" s="401"/>
      <c r="D38" s="401"/>
    </row>
    <row r="39" spans="2:4">
      <c r="B39" s="401"/>
      <c r="C39" s="401"/>
      <c r="D39" s="401"/>
    </row>
  </sheetData>
  <sheetProtection sheet="1" objects="1" scenarios="1"/>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68ADEB29B61241B2AA8EDC6E1340E0" ma:contentTypeVersion="20" ma:contentTypeDescription="Create a new document." ma:contentTypeScope="" ma:versionID="e890e450de6a68ed55806f40ef288e97">
  <xsd:schema xmlns:xsd="http://www.w3.org/2001/XMLSchema" xmlns:xs="http://www.w3.org/2001/XMLSchema" xmlns:p="http://schemas.microsoft.com/office/2006/metadata/properties" xmlns:ns2="91bfcb28-517f-4dd4-8701-04aea4e1d6d2" xmlns:ns3="bf5b0e47-c7eb-4ab1-809e-1ffe821ce70e" targetNamespace="http://schemas.microsoft.com/office/2006/metadata/properties" ma:root="true" ma:fieldsID="b9bd99693e1333531c64f73db3426805" ns2:_="" ns3:_="">
    <xsd:import namespace="91bfcb28-517f-4dd4-8701-04aea4e1d6d2"/>
    <xsd:import namespace="bf5b0e47-c7eb-4ab1-809e-1ffe821ce7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fcb28-517f-4dd4-8701-04aea4e1d6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e37fd66-c85f-4cdb-a613-a59591a4ba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5b0e47-c7eb-4ab1-809e-1ffe821ce70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67f7466-2be1-4f6e-8204-c52a9242baf6}" ma:internalName="TaxCatchAll" ma:showField="CatchAllData" ma:web="bf5b0e47-c7eb-4ab1-809e-1ffe821ce7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1bfcb28-517f-4dd4-8701-04aea4e1d6d2">
      <Terms xmlns="http://schemas.microsoft.com/office/infopath/2007/PartnerControls"/>
    </lcf76f155ced4ddcb4097134ff3c332f>
    <TaxCatchAll xmlns="bf5b0e47-c7eb-4ab1-809e-1ffe821ce70e" xsi:nil="true"/>
  </documentManagement>
</p:properties>
</file>

<file path=customXml/itemProps1.xml><?xml version="1.0" encoding="utf-8"?>
<ds:datastoreItem xmlns:ds="http://schemas.openxmlformats.org/officeDocument/2006/customXml" ds:itemID="{49FBA87A-48D8-4199-8390-410B031DD1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bfcb28-517f-4dd4-8701-04aea4e1d6d2"/>
    <ds:schemaRef ds:uri="bf5b0e47-c7eb-4ab1-809e-1ffe821ce7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666010-640E-4856-98E4-9CD6112246BD}">
  <ds:schemaRefs>
    <ds:schemaRef ds:uri="http://schemas.microsoft.com/sharepoint/v3/contenttype/forms"/>
  </ds:schemaRefs>
</ds:datastoreItem>
</file>

<file path=customXml/itemProps3.xml><?xml version="1.0" encoding="utf-8"?>
<ds:datastoreItem xmlns:ds="http://schemas.openxmlformats.org/officeDocument/2006/customXml" ds:itemID="{8B900DAC-2133-4C63-A779-75FCF543820D}">
  <ds:schemaRefs>
    <ds:schemaRef ds:uri="3c2b199b-ae0d-40d1-a25b-4aecafb99e9c"/>
    <ds:schemaRef ds:uri="http://schemas.microsoft.com/office/2006/metadata/properties"/>
    <ds:schemaRef ds:uri="http://purl.org/dc/dcmitype/"/>
    <ds:schemaRef ds:uri="3e924f42-02d1-4809-ad80-a81cfd50ee5d"/>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elements/1.1/"/>
    <ds:schemaRef ds:uri="91bfcb28-517f-4dd4-8701-04aea4e1d6d2"/>
    <ds:schemaRef ds:uri="bf5b0e47-c7eb-4ab1-809e-1ffe821ce7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Introduction</vt:lpstr>
      <vt:lpstr>1. Criteria &amp; Spec Matrix</vt:lpstr>
      <vt:lpstr>2. Specs</vt:lpstr>
      <vt:lpstr>3. Dropdowns</vt:lpstr>
      <vt:lpstr>4. Change Log</vt:lpstr>
      <vt:lpstr>'2. Specs'!_Toc438666691</vt:lpstr>
      <vt:lpstr>'2. Specs'!Print_Area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Lewis</dc:creator>
  <cp:keywords/>
  <dc:description/>
  <cp:lastModifiedBy>Horen Geisler, Elizabeth</cp:lastModifiedBy>
  <cp:revision/>
  <cp:lastPrinted>2026-06-25T18:17:00Z</cp:lastPrinted>
  <dcterms:created xsi:type="dcterms:W3CDTF">2014-12-12T19:19:06Z</dcterms:created>
  <dcterms:modified xsi:type="dcterms:W3CDTF">2026-08-10T15:32:07Z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0x010100CB68ADEB29B61241B2AA8EDC6E1340E0</vt:lpwstr>
  </property>
  <property fmtid="{D5CDD505-2E9C-101B-9397-08002B2CF9AE}" pid="3" name="Order">
    <vt:r8>100</vt:r8>
  </property>
  <property fmtid="{D5CDD505-2E9C-101B-9397-08002B2CF9AE}" pid="4" name="MediaServiceImageTags">
    <vt:lpwstr/>
  </property>
</Properties>
</file>